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02 Beruf\05 Internet www.ingenieur-bauwesen.de\www.ingenieur-bauwesen.de 3.24\download\"/>
    </mc:Choice>
  </mc:AlternateContent>
  <xr:revisionPtr revIDLastSave="0" documentId="8_{646A7916-BBC5-475E-9AD3-6772AD3E44D7}" xr6:coauthVersionLast="47" xr6:coauthVersionMax="47" xr10:uidLastSave="{00000000-0000-0000-0000-000000000000}"/>
  <bookViews>
    <workbookView xWindow="-22935" yWindow="630" windowWidth="22140" windowHeight="15060" xr2:uid="{DD656E7F-1991-4CB9-9B04-8FE0211EF2D2}"/>
  </bookViews>
  <sheets>
    <sheet name="Prognosewerte" sheetId="18" r:id="rId1"/>
    <sheet name="+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6" i="13" l="1"/>
  <c r="E42" i="13"/>
  <c r="E53" i="13" s="1"/>
  <c r="E41" i="13"/>
  <c r="E54" i="13" s="1"/>
  <c r="E43" i="13"/>
  <c r="E61" i="13" s="1"/>
  <c r="E40" i="13"/>
  <c r="E48" i="13"/>
  <c r="E58" i="13" s="1"/>
  <c r="E63" i="13"/>
  <c r="E60" i="13"/>
  <c r="E46" i="13"/>
  <c r="E55" i="13" s="1"/>
  <c r="E167" i="13"/>
  <c r="E82" i="13"/>
  <c r="E94" i="13" s="1"/>
  <c r="E84" i="13"/>
  <c r="E95" i="13" s="1"/>
  <c r="E79" i="13"/>
  <c r="E96" i="13" s="1"/>
  <c r="E78" i="13"/>
  <c r="E81" i="13"/>
  <c r="E99" i="13" s="1"/>
  <c r="E83" i="13"/>
  <c r="E106" i="13"/>
  <c r="E80" i="13"/>
  <c r="E89" i="13"/>
  <c r="E103" i="13"/>
  <c r="E107" i="13"/>
  <c r="E104" i="13"/>
  <c r="E108" i="13"/>
  <c r="E105" i="13"/>
  <c r="E87" i="13"/>
  <c r="E101" i="13" s="1"/>
  <c r="E100" i="13"/>
  <c r="E102" i="13" s="1"/>
  <c r="E109" i="13" s="1"/>
  <c r="E168" i="13"/>
  <c r="E130" i="13"/>
  <c r="E141" i="13" s="1"/>
  <c r="E129" i="13"/>
  <c r="E142" i="13"/>
  <c r="E131" i="13"/>
  <c r="E151" i="13" s="1"/>
  <c r="E149" i="13"/>
  <c r="E126" i="13"/>
  <c r="E127" i="13"/>
  <c r="E128" i="13"/>
  <c r="E136" i="13"/>
  <c r="E146" i="13" s="1"/>
  <c r="E150" i="13"/>
  <c r="E134" i="13"/>
  <c r="E143" i="13"/>
  <c r="E145" i="13" s="1"/>
  <c r="E144" i="13"/>
  <c r="E2" i="13"/>
  <c r="E27" i="13" s="1"/>
  <c r="E3" i="13"/>
  <c r="E14" i="13" s="1"/>
  <c r="E4" i="13"/>
  <c r="E7" i="13"/>
  <c r="E17" i="13" s="1"/>
  <c r="E16" i="13"/>
  <c r="E23" i="13" s="1"/>
  <c r="E9" i="13"/>
  <c r="E15" i="13"/>
  <c r="E18" i="13"/>
  <c r="E20" i="13"/>
  <c r="E22" i="13"/>
  <c r="E26" i="13" s="1"/>
  <c r="E21" i="13"/>
  <c r="E132" i="13"/>
  <c r="E133" i="13"/>
  <c r="E135" i="13"/>
  <c r="E137" i="13"/>
  <c r="E153" i="13"/>
  <c r="E156" i="13" s="1"/>
  <c r="E157" i="13" s="1"/>
  <c r="E154" i="13"/>
  <c r="E155" i="13"/>
  <c r="E158" i="13"/>
  <c r="E159" i="13" s="1"/>
  <c r="E85" i="13"/>
  <c r="E86" i="13"/>
  <c r="E88" i="13"/>
  <c r="E90" i="13"/>
  <c r="E110" i="13"/>
  <c r="E111" i="13"/>
  <c r="E112" i="13"/>
  <c r="E116" i="13"/>
  <c r="E118" i="13"/>
  <c r="E44" i="13"/>
  <c r="E71" i="13" s="1"/>
  <c r="E72" i="13" s="1"/>
  <c r="E45" i="13"/>
  <c r="E47" i="13"/>
  <c r="E49" i="13"/>
  <c r="E65" i="13"/>
  <c r="E70" i="13" s="1"/>
  <c r="E66" i="13"/>
  <c r="E67" i="13"/>
  <c r="E68" i="13"/>
  <c r="E69" i="13"/>
  <c r="E10" i="13"/>
  <c r="E8" i="13"/>
  <c r="E28" i="13" s="1"/>
  <c r="E6" i="13"/>
  <c r="E5" i="13"/>
  <c r="E30" i="13"/>
  <c r="E33" i="13"/>
  <c r="E29" i="13"/>
  <c r="M18" i="18"/>
  <c r="M17" i="18"/>
  <c r="M16" i="18"/>
  <c r="M15" i="18"/>
  <c r="M14" i="18"/>
  <c r="M13" i="18"/>
  <c r="M12" i="18"/>
  <c r="M11" i="18"/>
  <c r="M10" i="18"/>
  <c r="M9" i="18"/>
  <c r="M8" i="18"/>
  <c r="M7" i="18"/>
  <c r="J17" i="18"/>
  <c r="J15" i="18"/>
  <c r="J12" i="18"/>
  <c r="J11" i="18"/>
  <c r="J10" i="18"/>
  <c r="J9" i="18"/>
  <c r="J8" i="18"/>
  <c r="J7" i="18"/>
  <c r="E31" i="13" l="1"/>
  <c r="E32" i="13"/>
  <c r="E34" i="13" s="1"/>
  <c r="E24" i="13"/>
  <c r="E152" i="13"/>
  <c r="E161" i="13" s="1"/>
  <c r="E59" i="13"/>
  <c r="E62" i="13"/>
  <c r="E113" i="13"/>
  <c r="E114" i="13" s="1"/>
  <c r="E115" i="13" s="1"/>
  <c r="E19" i="13"/>
  <c r="E25" i="13" s="1"/>
  <c r="E97" i="13"/>
  <c r="E98" i="13" s="1"/>
  <c r="E121" i="13" s="1"/>
  <c r="E148" i="13"/>
  <c r="E56" i="13"/>
  <c r="E57" i="13" s="1"/>
  <c r="E64" i="13" s="1"/>
  <c r="E74" i="13" s="1"/>
  <c r="E147" i="13"/>
  <c r="E75" i="13" l="1"/>
  <c r="F40" i="18" s="1"/>
  <c r="F30" i="18"/>
  <c r="E170" i="13"/>
  <c r="F31" i="18"/>
  <c r="E171" i="13"/>
  <c r="E117" i="13"/>
  <c r="E122" i="13" s="1"/>
  <c r="F41" i="18" s="1"/>
  <c r="E119" i="13"/>
  <c r="E123" i="13" s="1"/>
  <c r="F42" i="18" s="1"/>
  <c r="E162" i="13"/>
  <c r="F43" i="18" s="1"/>
  <c r="F32" i="18"/>
  <c r="E172" i="13"/>
  <c r="E36" i="13"/>
  <c r="E177" i="13" l="1"/>
  <c r="E180" i="13" s="1"/>
  <c r="F50" i="18" s="1"/>
  <c r="E173" i="13"/>
  <c r="E176" i="13" s="1"/>
  <c r="E181" i="13" s="1"/>
  <c r="F52" i="18" s="1"/>
  <c r="E175" i="13"/>
  <c r="E182" i="13" s="1"/>
  <c r="F51" i="18" s="1"/>
  <c r="E37" i="13"/>
  <c r="F36" i="18" s="1"/>
  <c r="G36" i="18" s="1"/>
  <c r="C38" i="18" s="1"/>
  <c r="F26" i="18"/>
  <c r="G26" i="18" s="1"/>
  <c r="C28" i="18" s="1"/>
</calcChain>
</file>

<file path=xl/sharedStrings.xml><?xml version="1.0" encoding="utf-8"?>
<sst xmlns="http://schemas.openxmlformats.org/spreadsheetml/2006/main" count="537" uniqueCount="184">
  <si>
    <r>
      <t>j</t>
    </r>
    <r>
      <rPr>
        <vertAlign val="subscript"/>
        <sz val="10"/>
        <rFont val="Arial"/>
        <family val="2"/>
      </rPr>
      <t>Gebirge</t>
    </r>
  </si>
  <si>
    <r>
      <t>j</t>
    </r>
    <r>
      <rPr>
        <vertAlign val="subscript"/>
        <sz val="10"/>
        <rFont val="Arial"/>
        <family val="2"/>
      </rPr>
      <t>Trennfläche</t>
    </r>
  </si>
  <si>
    <r>
      <t>F</t>
    </r>
    <r>
      <rPr>
        <vertAlign val="subscript"/>
        <sz val="10"/>
        <rFont val="Arial"/>
        <family val="2"/>
      </rPr>
      <t>GUV,TF</t>
    </r>
  </si>
  <si>
    <r>
      <t>a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</rPr>
      <t>F,</t>
    </r>
    <r>
      <rPr>
        <vertAlign val="subscript"/>
        <sz val="10"/>
        <rFont val="Symbol"/>
        <family val="1"/>
        <charset val="2"/>
      </rPr>
      <t>b</t>
    </r>
  </si>
  <si>
    <r>
      <t>c</t>
    </r>
    <r>
      <rPr>
        <vertAlign val="subscript"/>
        <sz val="10"/>
        <rFont val="Arial"/>
        <family val="2"/>
      </rPr>
      <t>Gebirge</t>
    </r>
  </si>
  <si>
    <r>
      <t>c</t>
    </r>
    <r>
      <rPr>
        <vertAlign val="subscript"/>
        <sz val="10"/>
        <rFont val="Arial"/>
        <family val="2"/>
      </rPr>
      <t>Trennfläche</t>
    </r>
  </si>
  <si>
    <t>[m]</t>
  </si>
  <si>
    <t>[°]</t>
  </si>
  <si>
    <r>
      <t>[MN/m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</si>
  <si>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=</t>
  </si>
  <si>
    <r>
      <t>a</t>
    </r>
    <r>
      <rPr>
        <vertAlign val="subscript"/>
        <sz val="10"/>
        <rFont val="Arial"/>
        <family val="2"/>
      </rPr>
      <t>F</t>
    </r>
  </si>
  <si>
    <t>b</t>
  </si>
  <si>
    <r>
      <t>a</t>
    </r>
    <r>
      <rPr>
        <b/>
        <vertAlign val="subscript"/>
        <sz val="12"/>
        <rFont val="Arial"/>
        <family val="2"/>
      </rPr>
      <t>F</t>
    </r>
  </si>
  <si>
    <r>
      <t>F</t>
    </r>
    <r>
      <rPr>
        <vertAlign val="subscript"/>
        <sz val="10"/>
        <rFont val="Arial"/>
        <family val="2"/>
      </rPr>
      <t>F,TF</t>
    </r>
  </si>
  <si>
    <r>
      <t>a</t>
    </r>
    <r>
      <rPr>
        <vertAlign val="subscript"/>
        <sz val="16"/>
        <rFont val="Symbol"/>
        <family val="1"/>
        <charset val="2"/>
      </rPr>
      <t>a</t>
    </r>
    <r>
      <rPr>
        <vertAlign val="subscript"/>
        <sz val="16"/>
        <rFont val="Arial"/>
      </rPr>
      <t>F,</t>
    </r>
    <r>
      <rPr>
        <vertAlign val="subscript"/>
        <sz val="16"/>
        <rFont val="Symbol"/>
        <family val="1"/>
        <charset val="2"/>
      </rPr>
      <t>b</t>
    </r>
  </si>
  <si>
    <t>[-]</t>
  </si>
  <si>
    <r>
      <t>h</t>
    </r>
    <r>
      <rPr>
        <vertAlign val="subscript"/>
        <sz val="10"/>
        <rFont val="Arial"/>
        <family val="2"/>
      </rPr>
      <t>RK,TF</t>
    </r>
  </si>
  <si>
    <t>h</t>
  </si>
  <si>
    <r>
      <t>g</t>
    </r>
    <r>
      <rPr>
        <vertAlign val="subscript"/>
        <sz val="10"/>
        <rFont val="Arial"/>
        <family val="2"/>
      </rPr>
      <t>Gebirge</t>
    </r>
  </si>
  <si>
    <r>
      <t>[kN/m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</si>
  <si>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E</t>
    </r>
    <r>
      <rPr>
        <vertAlign val="subscript"/>
        <sz val="10"/>
        <rFont val="Arial"/>
        <family val="2"/>
      </rPr>
      <t>Gebirge</t>
    </r>
  </si>
  <si>
    <r>
      <t>h</t>
    </r>
    <r>
      <rPr>
        <vertAlign val="subscript"/>
        <sz val="10"/>
        <rFont val="Arial"/>
        <family val="2"/>
      </rPr>
      <t>RK</t>
    </r>
  </si>
  <si>
    <r>
      <t>f</t>
    </r>
    <r>
      <rPr>
        <vertAlign val="subscript"/>
        <sz val="10"/>
        <rFont val="Arial"/>
        <family val="2"/>
      </rPr>
      <t>F</t>
    </r>
  </si>
  <si>
    <r>
      <t>a</t>
    </r>
    <r>
      <rPr>
        <vertAlign val="subscript"/>
        <sz val="10"/>
        <rFont val="Symbol"/>
        <family val="1"/>
        <charset val="2"/>
      </rPr>
      <t>j</t>
    </r>
  </si>
  <si>
    <r>
      <t>a</t>
    </r>
    <r>
      <rPr>
        <vertAlign val="subscript"/>
        <sz val="10"/>
        <rFont val="Arial"/>
        <family val="2"/>
      </rPr>
      <t>E</t>
    </r>
  </si>
  <si>
    <r>
      <t>b</t>
    </r>
    <r>
      <rPr>
        <vertAlign val="subscript"/>
        <sz val="10"/>
        <rFont val="Symbol"/>
        <family val="1"/>
        <charset val="2"/>
      </rPr>
      <t>j</t>
    </r>
  </si>
  <si>
    <r>
      <t>b</t>
    </r>
    <r>
      <rPr>
        <vertAlign val="subscript"/>
        <sz val="10"/>
        <rFont val="Arial"/>
        <family val="2"/>
      </rPr>
      <t>M</t>
    </r>
  </si>
  <si>
    <r>
      <t>c</t>
    </r>
    <r>
      <rPr>
        <vertAlign val="subscript"/>
        <sz val="10"/>
        <rFont val="Symbol"/>
        <family val="1"/>
        <charset val="2"/>
      </rPr>
      <t>j</t>
    </r>
  </si>
  <si>
    <r>
      <t>c</t>
    </r>
    <r>
      <rPr>
        <vertAlign val="subscript"/>
        <sz val="10"/>
        <rFont val="Arial"/>
        <family val="2"/>
      </rPr>
      <t>E</t>
    </r>
  </si>
  <si>
    <r>
      <t>d</t>
    </r>
    <r>
      <rPr>
        <vertAlign val="subscript"/>
        <sz val="10"/>
        <rFont val="Symbol"/>
        <family val="1"/>
        <charset val="2"/>
      </rPr>
      <t>j</t>
    </r>
  </si>
  <si>
    <r>
      <t>d</t>
    </r>
    <r>
      <rPr>
        <vertAlign val="subscript"/>
        <sz val="10"/>
        <rFont val="Arial"/>
        <family val="2"/>
      </rPr>
      <t>E</t>
    </r>
  </si>
  <si>
    <t>a</t>
  </si>
  <si>
    <t>c</t>
  </si>
  <si>
    <t>d</t>
  </si>
  <si>
    <r>
      <t>u</t>
    </r>
    <r>
      <rPr>
        <vertAlign val="subscript"/>
        <sz val="10"/>
        <rFont val="Arial"/>
        <family val="2"/>
      </rPr>
      <t>F</t>
    </r>
  </si>
  <si>
    <r>
      <t>[cm</t>
    </r>
    <r>
      <rPr>
        <sz val="10"/>
        <rFont val="Arial"/>
        <family val="2"/>
      </rPr>
      <t>]</t>
    </r>
  </si>
  <si>
    <r>
      <t>j</t>
    </r>
    <r>
      <rPr>
        <b/>
        <vertAlign val="subscript"/>
        <sz val="10"/>
        <rFont val="Arial"/>
        <family val="2"/>
      </rPr>
      <t>Gebirge</t>
    </r>
  </si>
  <si>
    <r>
      <t>a</t>
    </r>
    <r>
      <rPr>
        <b/>
        <vertAlign val="subscript"/>
        <sz val="10"/>
        <rFont val="Symbol"/>
        <family val="1"/>
        <charset val="2"/>
      </rPr>
      <t>j</t>
    </r>
  </si>
  <si>
    <r>
      <t>a</t>
    </r>
    <r>
      <rPr>
        <b/>
        <vertAlign val="subscript"/>
        <sz val="10"/>
        <rFont val="Arial"/>
        <family val="2"/>
      </rPr>
      <t>E</t>
    </r>
  </si>
  <si>
    <r>
      <t>b</t>
    </r>
    <r>
      <rPr>
        <b/>
        <vertAlign val="subscript"/>
        <sz val="10"/>
        <rFont val="Symbol"/>
        <family val="1"/>
        <charset val="2"/>
      </rPr>
      <t>j</t>
    </r>
  </si>
  <si>
    <r>
      <t>b</t>
    </r>
    <r>
      <rPr>
        <b/>
        <vertAlign val="subscript"/>
        <sz val="10"/>
        <rFont val="Arial"/>
        <family val="2"/>
      </rPr>
      <t>M</t>
    </r>
  </si>
  <si>
    <r>
      <t>c</t>
    </r>
    <r>
      <rPr>
        <b/>
        <vertAlign val="subscript"/>
        <sz val="10"/>
        <rFont val="Symbol"/>
        <family val="1"/>
        <charset val="2"/>
      </rPr>
      <t>j</t>
    </r>
  </si>
  <si>
    <r>
      <t>c</t>
    </r>
    <r>
      <rPr>
        <b/>
        <vertAlign val="subscript"/>
        <sz val="10"/>
        <rFont val="Arial"/>
        <family val="2"/>
      </rPr>
      <t>E</t>
    </r>
  </si>
  <si>
    <r>
      <t>d</t>
    </r>
    <r>
      <rPr>
        <b/>
        <vertAlign val="subscript"/>
        <sz val="10"/>
        <rFont val="Symbol"/>
        <family val="1"/>
        <charset val="2"/>
      </rPr>
      <t>j</t>
    </r>
  </si>
  <si>
    <r>
      <t>d</t>
    </r>
    <r>
      <rPr>
        <b/>
        <vertAlign val="subscript"/>
        <sz val="10"/>
        <rFont val="Arial"/>
        <family val="2"/>
      </rPr>
      <t>E</t>
    </r>
  </si>
  <si>
    <t>Beiwerte</t>
  </si>
  <si>
    <r>
      <t>u</t>
    </r>
    <r>
      <rPr>
        <vertAlign val="subscript"/>
        <sz val="10"/>
        <rFont val="Arial"/>
        <family val="2"/>
      </rPr>
      <t>F,TF</t>
    </r>
  </si>
  <si>
    <r>
      <t>F</t>
    </r>
    <r>
      <rPr>
        <vertAlign val="subscript"/>
        <sz val="10"/>
        <rFont val="Arial"/>
        <family val="2"/>
      </rPr>
      <t>hü</t>
    </r>
  </si>
  <si>
    <r>
      <t>f</t>
    </r>
    <r>
      <rPr>
        <vertAlign val="subscript"/>
        <sz val="10"/>
        <rFont val="Arial"/>
      </rPr>
      <t>GB,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</si>
  <si>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</si>
  <si>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Arial"/>
      </rPr>
      <t>TF,</t>
    </r>
    <r>
      <rPr>
        <vertAlign val="subscript"/>
        <sz val="10"/>
        <rFont val="Symbol"/>
        <family val="1"/>
        <charset val="2"/>
      </rPr>
      <t>j</t>
    </r>
  </si>
  <si>
    <r>
      <t>e</t>
    </r>
    <r>
      <rPr>
        <vertAlign val="subscript"/>
        <sz val="10"/>
        <rFont val="Arial"/>
        <family val="2"/>
      </rPr>
      <t>TF</t>
    </r>
  </si>
  <si>
    <r>
      <t>h</t>
    </r>
    <r>
      <rPr>
        <vertAlign val="subscript"/>
        <sz val="10"/>
        <rFont val="Arial"/>
        <family val="2"/>
      </rPr>
      <t>ü</t>
    </r>
  </si>
  <si>
    <r>
      <t>d</t>
    </r>
    <r>
      <rPr>
        <vertAlign val="subscript"/>
        <sz val="10"/>
        <rFont val="Arial"/>
        <family val="2"/>
      </rPr>
      <t>T</t>
    </r>
  </si>
  <si>
    <t>[cm]</t>
  </si>
  <si>
    <r>
      <t>h</t>
    </r>
    <r>
      <rPr>
        <vertAlign val="subscript"/>
        <sz val="10"/>
        <rFont val="Arial"/>
        <family val="2"/>
      </rPr>
      <t>RK,F</t>
    </r>
  </si>
  <si>
    <r>
      <t>h</t>
    </r>
    <r>
      <rPr>
        <vertAlign val="subscript"/>
        <sz val="10"/>
        <rFont val="Arial"/>
        <family val="2"/>
      </rPr>
      <t>RK,F,TF</t>
    </r>
  </si>
  <si>
    <r>
      <t>f</t>
    </r>
    <r>
      <rPr>
        <vertAlign val="subscript"/>
        <sz val="10"/>
        <rFont val="Arial"/>
        <family val="2"/>
      </rPr>
      <t>L,F</t>
    </r>
  </si>
  <si>
    <r>
      <t>f</t>
    </r>
    <r>
      <rPr>
        <vertAlign val="subscript"/>
        <sz val="10"/>
        <rFont val="Arial"/>
        <family val="2"/>
      </rPr>
      <t>TD,F</t>
    </r>
  </si>
  <si>
    <r>
      <t>b</t>
    </r>
    <r>
      <rPr>
        <vertAlign val="subscript"/>
        <sz val="10"/>
        <rFont val="Arial"/>
        <family val="2"/>
      </rPr>
      <t>F</t>
    </r>
  </si>
  <si>
    <r>
      <t>c</t>
    </r>
    <r>
      <rPr>
        <vertAlign val="subscript"/>
        <sz val="10"/>
        <rFont val="Arial"/>
        <family val="2"/>
      </rPr>
      <t>F</t>
    </r>
  </si>
  <si>
    <r>
      <t>k</t>
    </r>
    <r>
      <rPr>
        <vertAlign val="subscript"/>
        <sz val="10"/>
        <rFont val="Arial"/>
        <family val="2"/>
      </rPr>
      <t>F</t>
    </r>
  </si>
  <si>
    <r>
      <t>s</t>
    </r>
    <r>
      <rPr>
        <sz val="10"/>
        <rFont val="Arial"/>
      </rPr>
      <t>F,e</t>
    </r>
    <r>
      <rPr>
        <vertAlign val="subscript"/>
        <sz val="10"/>
        <rFont val="Arial"/>
        <family val="2"/>
      </rPr>
      <t>TF</t>
    </r>
  </si>
  <si>
    <r>
      <t>s</t>
    </r>
    <r>
      <rPr>
        <vertAlign val="subscript"/>
        <sz val="10"/>
        <rFont val="Arial"/>
        <family val="2"/>
      </rPr>
      <t>r,F</t>
    </r>
  </si>
  <si>
    <r>
      <t>s</t>
    </r>
    <r>
      <rPr>
        <vertAlign val="subscript"/>
        <sz val="10"/>
        <rFont val="Arial"/>
        <family val="2"/>
      </rPr>
      <t>r,F,TF</t>
    </r>
  </si>
  <si>
    <r>
      <t>nF</t>
    </r>
    <r>
      <rPr>
        <vertAlign val="subscript"/>
        <sz val="10"/>
        <rFont val="Symbol"/>
        <family val="1"/>
        <charset val="2"/>
      </rPr>
      <t>j</t>
    </r>
  </si>
  <si>
    <r>
      <t>bF</t>
    </r>
    <r>
      <rPr>
        <vertAlign val="subscript"/>
        <sz val="10"/>
        <rFont val="Symbol"/>
        <family val="1"/>
        <charset val="2"/>
      </rPr>
      <t>j</t>
    </r>
  </si>
  <si>
    <r>
      <t>mF</t>
    </r>
    <r>
      <rPr>
        <vertAlign val="subscript"/>
        <sz val="10"/>
        <rFont val="Symbol"/>
        <family val="1"/>
        <charset val="2"/>
      </rPr>
      <t>j</t>
    </r>
    <r>
      <rPr>
        <vertAlign val="subscript"/>
        <sz val="10"/>
        <rFont val="Arial"/>
        <family val="2"/>
      </rPr>
      <t>,c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</si>
  <si>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F,hü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</si>
  <si>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</rPr>
      <t>F,TF,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</si>
  <si>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</rPr>
      <t>F,GB,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</si>
  <si>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F,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</si>
  <si>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F,GUV,TF</t>
    </r>
  </si>
  <si>
    <r>
      <t>b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</rPr>
      <t>F,</t>
    </r>
    <r>
      <rPr>
        <vertAlign val="subscript"/>
        <sz val="10"/>
        <rFont val="Symbol"/>
        <family val="1"/>
        <charset val="2"/>
      </rPr>
      <t>b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</si>
  <si>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F,TF</t>
    </r>
  </si>
  <si>
    <r>
      <t>[kN/m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</si>
  <si>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b</t>
    </r>
    <r>
      <rPr>
        <vertAlign val="subscript"/>
        <sz val="16"/>
        <rFont val="Symbol"/>
        <family val="1"/>
        <charset val="2"/>
      </rPr>
      <t>a</t>
    </r>
    <r>
      <rPr>
        <vertAlign val="subscript"/>
        <sz val="16"/>
        <rFont val="Arial"/>
      </rPr>
      <t>F,</t>
    </r>
    <r>
      <rPr>
        <vertAlign val="subscript"/>
        <sz val="16"/>
        <rFont val="Symbol"/>
        <family val="1"/>
        <charset val="2"/>
      </rPr>
      <t>b</t>
    </r>
  </si>
  <si>
    <r>
      <t>D</t>
    </r>
    <r>
      <rPr>
        <vertAlign val="subscript"/>
        <sz val="10"/>
        <rFont val="Arial"/>
        <family val="2"/>
      </rPr>
      <t>TR</t>
    </r>
  </si>
  <si>
    <r>
      <t>h</t>
    </r>
    <r>
      <rPr>
        <vertAlign val="subscript"/>
        <sz val="10"/>
        <rFont val="Arial"/>
        <family val="2"/>
      </rPr>
      <t>UL</t>
    </r>
  </si>
  <si>
    <t>m</t>
  </si>
  <si>
    <r>
      <t>h</t>
    </r>
    <r>
      <rPr>
        <vertAlign val="subscript"/>
        <sz val="10"/>
        <rFont val="Arial"/>
        <family val="2"/>
      </rPr>
      <t>RK,U</t>
    </r>
  </si>
  <si>
    <r>
      <t>h</t>
    </r>
    <r>
      <rPr>
        <vertAlign val="subscript"/>
        <sz val="10"/>
        <rFont val="Arial"/>
        <family val="2"/>
      </rPr>
      <t>RK,U,TF</t>
    </r>
  </si>
  <si>
    <r>
      <t>f</t>
    </r>
    <r>
      <rPr>
        <vertAlign val="subscript"/>
        <sz val="10"/>
        <rFont val="Arial"/>
        <family val="2"/>
      </rPr>
      <t>L,U</t>
    </r>
  </si>
  <si>
    <r>
      <t>f</t>
    </r>
    <r>
      <rPr>
        <vertAlign val="subscript"/>
        <sz val="10"/>
        <rFont val="Arial"/>
        <family val="2"/>
      </rPr>
      <t>Q</t>
    </r>
  </si>
  <si>
    <r>
      <t>n</t>
    </r>
    <r>
      <rPr>
        <vertAlign val="subscript"/>
        <sz val="10"/>
        <rFont val="Arial"/>
        <family val="2"/>
      </rPr>
      <t>D,TR</t>
    </r>
  </si>
  <si>
    <r>
      <t>a</t>
    </r>
    <r>
      <rPr>
        <vertAlign val="subscript"/>
        <sz val="10"/>
        <rFont val="Arial"/>
        <family val="2"/>
      </rPr>
      <t>D,TR</t>
    </r>
  </si>
  <si>
    <r>
      <t>f</t>
    </r>
    <r>
      <rPr>
        <vertAlign val="subscript"/>
        <sz val="10"/>
        <rFont val="Arial"/>
        <family val="2"/>
      </rPr>
      <t>D,TR</t>
    </r>
  </si>
  <si>
    <r>
      <t>f</t>
    </r>
    <r>
      <rPr>
        <vertAlign val="subscript"/>
        <sz val="10"/>
        <rFont val="Arial"/>
        <family val="2"/>
      </rPr>
      <t>TD,U</t>
    </r>
  </si>
  <si>
    <r>
      <t>a</t>
    </r>
    <r>
      <rPr>
        <vertAlign val="subscript"/>
        <sz val="10"/>
        <rFont val="Arial"/>
        <family val="2"/>
      </rPr>
      <t>U</t>
    </r>
  </si>
  <si>
    <r>
      <t>b</t>
    </r>
    <r>
      <rPr>
        <vertAlign val="subscript"/>
        <sz val="10"/>
        <rFont val="Arial"/>
        <family val="2"/>
      </rPr>
      <t>U</t>
    </r>
  </si>
  <si>
    <r>
      <t>c</t>
    </r>
    <r>
      <rPr>
        <vertAlign val="subscript"/>
        <sz val="10"/>
        <rFont val="Arial"/>
        <family val="2"/>
      </rPr>
      <t>U</t>
    </r>
  </si>
  <si>
    <r>
      <t>k</t>
    </r>
    <r>
      <rPr>
        <vertAlign val="subscript"/>
        <sz val="10"/>
        <rFont val="Arial"/>
        <family val="2"/>
      </rPr>
      <t>U</t>
    </r>
  </si>
  <si>
    <r>
      <t>s</t>
    </r>
    <r>
      <rPr>
        <sz val="10"/>
        <rFont val="Arial"/>
      </rPr>
      <t>U,d</t>
    </r>
    <r>
      <rPr>
        <vertAlign val="subscript"/>
        <sz val="10"/>
        <rFont val="Arial"/>
        <family val="2"/>
      </rPr>
      <t>TF</t>
    </r>
  </si>
  <si>
    <r>
      <t>s</t>
    </r>
    <r>
      <rPr>
        <vertAlign val="subscript"/>
        <sz val="10"/>
        <rFont val="Arial"/>
        <family val="2"/>
      </rPr>
      <t>r,U</t>
    </r>
  </si>
  <si>
    <r>
      <t>s</t>
    </r>
    <r>
      <rPr>
        <vertAlign val="subscript"/>
        <sz val="10"/>
        <rFont val="Arial"/>
        <family val="2"/>
      </rPr>
      <t>r,UR,TF</t>
    </r>
  </si>
  <si>
    <r>
      <t>s</t>
    </r>
    <r>
      <rPr>
        <vertAlign val="subscript"/>
        <sz val="10"/>
        <rFont val="Arial"/>
        <family val="2"/>
      </rPr>
      <t>r,UL,TF</t>
    </r>
  </si>
  <si>
    <r>
      <t>nU</t>
    </r>
    <r>
      <rPr>
        <vertAlign val="subscript"/>
        <sz val="10"/>
        <rFont val="Symbol"/>
        <family val="1"/>
        <charset val="2"/>
      </rPr>
      <t>j</t>
    </r>
  </si>
  <si>
    <r>
      <t>bU</t>
    </r>
    <r>
      <rPr>
        <vertAlign val="subscript"/>
        <sz val="10"/>
        <rFont val="Symbol"/>
        <family val="1"/>
        <charset val="2"/>
      </rPr>
      <t>j</t>
    </r>
  </si>
  <si>
    <r>
      <t>mU</t>
    </r>
    <r>
      <rPr>
        <vertAlign val="subscript"/>
        <sz val="10"/>
        <rFont val="Symbol"/>
        <family val="1"/>
        <charset val="2"/>
      </rPr>
      <t>j</t>
    </r>
    <r>
      <rPr>
        <vertAlign val="subscript"/>
        <sz val="10"/>
        <rFont val="Arial"/>
        <family val="2"/>
      </rPr>
      <t>,c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</si>
  <si>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U,hü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</si>
  <si>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</rPr>
      <t>U,TF,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</si>
  <si>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</rPr>
      <t>U,GB,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</si>
  <si>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U,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</si>
  <si>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U,GUV,TF</t>
    </r>
  </si>
  <si>
    <r>
      <t>cR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</rPr>
      <t>F,</t>
    </r>
    <r>
      <rPr>
        <vertAlign val="subscript"/>
        <sz val="10"/>
        <rFont val="Symbol"/>
        <family val="1"/>
        <charset val="2"/>
      </rPr>
      <t>b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</si>
  <si>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UR,TF</t>
    </r>
  </si>
  <si>
    <r>
      <t>cL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</rPr>
      <t>F,</t>
    </r>
    <r>
      <rPr>
        <vertAlign val="subscript"/>
        <sz val="10"/>
        <rFont val="Symbol"/>
        <family val="1"/>
        <charset val="2"/>
      </rPr>
      <t>b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</si>
  <si>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UL,TF</t>
    </r>
  </si>
  <si>
    <r>
      <t>cR</t>
    </r>
    <r>
      <rPr>
        <vertAlign val="subscript"/>
        <sz val="16"/>
        <rFont val="Symbol"/>
        <family val="1"/>
        <charset val="2"/>
      </rPr>
      <t>a</t>
    </r>
    <r>
      <rPr>
        <vertAlign val="subscript"/>
        <sz val="16"/>
        <rFont val="Arial"/>
      </rPr>
      <t>F,</t>
    </r>
    <r>
      <rPr>
        <vertAlign val="subscript"/>
        <sz val="16"/>
        <rFont val="Symbol"/>
        <family val="1"/>
        <charset val="2"/>
      </rPr>
      <t>b</t>
    </r>
  </si>
  <si>
    <r>
      <t>cL</t>
    </r>
    <r>
      <rPr>
        <vertAlign val="subscript"/>
        <sz val="16"/>
        <rFont val="Symbol"/>
        <family val="1"/>
        <charset val="2"/>
      </rPr>
      <t>a</t>
    </r>
    <r>
      <rPr>
        <vertAlign val="subscript"/>
        <sz val="16"/>
        <rFont val="Arial"/>
      </rPr>
      <t>F,</t>
    </r>
    <r>
      <rPr>
        <vertAlign val="subscript"/>
        <sz val="16"/>
        <rFont val="Symbol"/>
        <family val="1"/>
        <charset val="2"/>
      </rPr>
      <t>b</t>
    </r>
  </si>
  <si>
    <r>
      <t>h</t>
    </r>
    <r>
      <rPr>
        <vertAlign val="subscript"/>
        <sz val="10"/>
        <rFont val="Arial"/>
        <family val="2"/>
      </rPr>
      <t>S</t>
    </r>
  </si>
  <si>
    <r>
      <t>h</t>
    </r>
    <r>
      <rPr>
        <vertAlign val="subscript"/>
        <sz val="10"/>
        <rFont val="Arial"/>
        <family val="2"/>
      </rPr>
      <t>RK,S</t>
    </r>
  </si>
  <si>
    <r>
      <t>f</t>
    </r>
    <r>
      <rPr>
        <vertAlign val="subscript"/>
        <sz val="10"/>
        <rFont val="Arial"/>
        <family val="2"/>
      </rPr>
      <t>L,S</t>
    </r>
  </si>
  <si>
    <r>
      <t>f</t>
    </r>
    <r>
      <rPr>
        <vertAlign val="subscript"/>
        <sz val="10"/>
        <rFont val="Arial"/>
        <family val="2"/>
      </rPr>
      <t>TD,S</t>
    </r>
  </si>
  <si>
    <r>
      <t>nS</t>
    </r>
    <r>
      <rPr>
        <vertAlign val="subscript"/>
        <sz val="10"/>
        <rFont val="Symbol"/>
        <family val="1"/>
        <charset val="2"/>
      </rPr>
      <t>j</t>
    </r>
  </si>
  <si>
    <r>
      <t>bS</t>
    </r>
    <r>
      <rPr>
        <vertAlign val="subscript"/>
        <sz val="10"/>
        <rFont val="Symbol"/>
        <family val="1"/>
        <charset val="2"/>
      </rPr>
      <t>j</t>
    </r>
  </si>
  <si>
    <r>
      <t>mS</t>
    </r>
    <r>
      <rPr>
        <vertAlign val="subscript"/>
        <sz val="10"/>
        <rFont val="Symbol"/>
        <family val="1"/>
        <charset val="2"/>
      </rPr>
      <t>j</t>
    </r>
    <r>
      <rPr>
        <vertAlign val="subscript"/>
        <sz val="10"/>
        <rFont val="Arial"/>
        <family val="2"/>
      </rPr>
      <t>,c</t>
    </r>
  </si>
  <si>
    <r>
      <t>a</t>
    </r>
    <r>
      <rPr>
        <vertAlign val="subscript"/>
        <sz val="10"/>
        <rFont val="Arial"/>
        <family val="2"/>
      </rPr>
      <t>S</t>
    </r>
  </si>
  <si>
    <r>
      <t>b</t>
    </r>
    <r>
      <rPr>
        <vertAlign val="subscript"/>
        <sz val="10"/>
        <rFont val="Arial"/>
        <family val="2"/>
      </rPr>
      <t>S</t>
    </r>
  </si>
  <si>
    <r>
      <t>c</t>
    </r>
    <r>
      <rPr>
        <vertAlign val="subscript"/>
        <sz val="10"/>
        <rFont val="Arial"/>
        <family val="2"/>
      </rPr>
      <t>S</t>
    </r>
  </si>
  <si>
    <r>
      <t>k</t>
    </r>
    <r>
      <rPr>
        <vertAlign val="subscript"/>
        <sz val="10"/>
        <rFont val="Arial"/>
        <family val="2"/>
      </rPr>
      <t>S</t>
    </r>
  </si>
  <si>
    <r>
      <t>f</t>
    </r>
    <r>
      <rPr>
        <vertAlign val="subscript"/>
        <sz val="10"/>
        <rFont val="Arial"/>
      </rPr>
      <t>a,TF,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</si>
  <si>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Arial"/>
      </rPr>
      <t>b,TF,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</si>
  <si>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S,</t>
    </r>
    <r>
      <rPr>
        <vertAlign val="subscript"/>
        <sz val="10"/>
        <rFont val="Symbol"/>
        <family val="1"/>
        <charset val="2"/>
      </rPr>
      <t>j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</si>
  <si>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S,GUV,TF</t>
    </r>
  </si>
  <si>
    <r>
      <t>d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</rPr>
      <t>F,</t>
    </r>
    <r>
      <rPr>
        <vertAlign val="subscript"/>
        <sz val="10"/>
        <rFont val="Symbol"/>
        <family val="1"/>
        <charset val="2"/>
      </rPr>
      <t>b</t>
    </r>
  </si>
  <si>
    <r>
      <t>F</t>
    </r>
    <r>
      <rPr>
        <vertAlign val="subscript"/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S,TF</t>
    </r>
  </si>
  <si>
    <r>
      <t>s</t>
    </r>
    <r>
      <rPr>
        <vertAlign val="subscript"/>
        <sz val="10"/>
        <rFont val="Arial"/>
        <family val="2"/>
      </rPr>
      <t>r,S</t>
    </r>
  </si>
  <si>
    <r>
      <t>s</t>
    </r>
    <r>
      <rPr>
        <vertAlign val="subscript"/>
        <sz val="10"/>
        <rFont val="Arial"/>
        <family val="2"/>
      </rPr>
      <t>r,S,TF</t>
    </r>
  </si>
  <si>
    <r>
      <t>d</t>
    </r>
    <r>
      <rPr>
        <vertAlign val="subscript"/>
        <sz val="16"/>
        <rFont val="Symbol"/>
        <family val="1"/>
        <charset val="2"/>
      </rPr>
      <t>a</t>
    </r>
    <r>
      <rPr>
        <vertAlign val="subscript"/>
        <sz val="16"/>
        <rFont val="Arial"/>
      </rPr>
      <t>F,</t>
    </r>
    <r>
      <rPr>
        <vertAlign val="subscript"/>
        <sz val="16"/>
        <rFont val="Symbol"/>
        <family val="1"/>
        <charset val="2"/>
      </rPr>
      <t>b</t>
    </r>
  </si>
  <si>
    <t>ohne Berücksichtigung einer Trennflächenschar</t>
  </si>
  <si>
    <t>mit Berücksichtigung einer Trennflächenschar</t>
  </si>
  <si>
    <t>min</t>
  </si>
  <si>
    <t>max</t>
  </si>
  <si>
    <r>
      <t>ü</t>
    </r>
    <r>
      <rPr>
        <vertAlign val="subscript"/>
        <sz val="10"/>
        <rFont val="Arial"/>
        <family val="2"/>
      </rPr>
      <t>TBM-S</t>
    </r>
  </si>
  <si>
    <t>- Druckspannungen</t>
  </si>
  <si>
    <t>Prognosewerte</t>
  </si>
  <si>
    <t>Eingabewerte</t>
  </si>
  <si>
    <t>zulässige Bandbreite</t>
  </si>
  <si>
    <t>AB = Außerhalb der Bandbreite</t>
  </si>
  <si>
    <t>Wichte Gebirge</t>
  </si>
  <si>
    <t>Querdehnzahl Gebirge</t>
  </si>
  <si>
    <t>Kohäsion Gebirge</t>
  </si>
  <si>
    <t>Außendurchmesser Tübbingring</t>
  </si>
  <si>
    <t>Überlagerungshöhe</t>
  </si>
  <si>
    <r>
      <t>h</t>
    </r>
    <r>
      <rPr>
        <vertAlign val="subscript"/>
        <sz val="10"/>
        <rFont val="Arial"/>
        <family val="2"/>
      </rPr>
      <t>Ü</t>
    </r>
  </si>
  <si>
    <t>Reibungswinkel Gebirge</t>
  </si>
  <si>
    <t>Tübbingdicke</t>
  </si>
  <si>
    <t>E-Modul Gebirge</t>
  </si>
  <si>
    <t>Kohäsion Trennflächenschar</t>
  </si>
  <si>
    <t>Planmäßiger Überschnitt</t>
  </si>
  <si>
    <t>Firstverschiebung im Überschnitt</t>
  </si>
  <si>
    <t>Winkel der Einfallsrichtung</t>
  </si>
  <si>
    <t>Fallwinkel</t>
  </si>
  <si>
    <t>Reibungswinkel Trennflächenschar</t>
  </si>
  <si>
    <t>Radialspannung Gebirge in der Sohle</t>
  </si>
  <si>
    <t>oTF</t>
  </si>
  <si>
    <t>mTF</t>
  </si>
  <si>
    <t>Abkürzungen</t>
  </si>
  <si>
    <t>oTF = ohne Berücksichtigung einer Trennflächenschar</t>
  </si>
  <si>
    <t>mTF = mit Berücksichtigung einer Trennflächenschar</t>
  </si>
  <si>
    <t>Radialspannung Gebirge in der Firste</t>
  </si>
  <si>
    <t>Radialspannung Gebirge in der Ulme</t>
  </si>
  <si>
    <t>Radialspannung Gebirge in der linken Ulme</t>
  </si>
  <si>
    <t>Radialspannung Gebirge in der rechten Ulme</t>
  </si>
  <si>
    <t>Prognose Verklemmung des Schildmantels / Gebirgsspannungen Bemessung Tübbingsicherung (SCHMITT [2009])</t>
  </si>
  <si>
    <t>SCHMITT, J., 2009: Spannungsverformungsverhalten des Gebirges beim Vortrieb mit Tunnelbohrmaschinen mit Schild, Institut für Grundbau und Bodenmechanik, Technische Universität Braunschweig, Heft 89.</t>
  </si>
  <si>
    <t>www.ingenieur-bauwesen.de</t>
  </si>
  <si>
    <r>
      <t>s</t>
    </r>
    <r>
      <rPr>
        <vertAlign val="subscript"/>
        <sz val="10"/>
        <rFont val="Arial"/>
        <family val="2"/>
      </rPr>
      <t>r,Primär, F</t>
    </r>
  </si>
  <si>
    <r>
      <t>s</t>
    </r>
    <r>
      <rPr>
        <vertAlign val="subscript"/>
        <sz val="10"/>
        <rFont val="Arial"/>
        <family val="2"/>
      </rPr>
      <t>r,Primär, U</t>
    </r>
  </si>
  <si>
    <t>Berechnung Vorentlastung</t>
  </si>
  <si>
    <t>Quotient</t>
  </si>
  <si>
    <t>Firste</t>
  </si>
  <si>
    <t>Ulme</t>
  </si>
  <si>
    <t>Sohle</t>
  </si>
  <si>
    <t>Mittelwert</t>
  </si>
  <si>
    <t>mittel</t>
  </si>
  <si>
    <t>Vorentlastungsfaktor</t>
  </si>
  <si>
    <t>[%]</t>
  </si>
  <si>
    <t>Vorentlastungsfaktor Stützlast-/Stützkernverfahren für eine ebene numerische Berechnung</t>
  </si>
  <si>
    <t>(vgl. SCHMITT [2009], Anhang C)</t>
  </si>
  <si>
    <t>minimaler Wert</t>
  </si>
  <si>
    <t>maximaler Wert</t>
  </si>
  <si>
    <t>© 2009 Dr.-Ing. Jürgen Schmitt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</si>
</sst>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6" formatCode="0.0"/>
    <numFmt numFmtId="168" formatCode="0.000"/>
    <numFmt numFmtId="172" formatCode="0.0000"/>
    <numFmt numFmtId="173" formatCode="0.00000"/>
    <numFmt numFmtId="180" formatCode="0.0E+00"/>
  </numFmts>
  <fonts count="30" x14ac:knownFonts="1">
    <font>
      <sz val="10"/>
      <name val="Arial"/>
    </font>
    <font>
      <sz val="8"/>
      <name val="Arial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b/>
      <sz val="10"/>
      <name val="Arial"/>
    </font>
    <font>
      <b/>
      <vertAlign val="subscript"/>
      <sz val="10"/>
      <name val="Symbol"/>
      <family val="1"/>
      <charset val="2"/>
    </font>
    <font>
      <b/>
      <u/>
      <sz val="14"/>
      <name val="Arial"/>
      <family val="2"/>
    </font>
    <font>
      <b/>
      <sz val="10"/>
      <name val="Arial"/>
      <family val="2"/>
    </font>
    <font>
      <b/>
      <i/>
      <sz val="10"/>
      <color indexed="57"/>
      <name val="Arial"/>
      <family val="2"/>
    </font>
    <font>
      <b/>
      <i/>
      <sz val="10"/>
      <color indexed="10"/>
      <name val="Arial"/>
      <family val="2"/>
    </font>
    <font>
      <vertAlign val="superscript"/>
      <sz val="10"/>
      <name val="Arial"/>
      <family val="2"/>
    </font>
    <font>
      <vertAlign val="subscript"/>
      <sz val="10"/>
      <name val="Arial"/>
    </font>
    <font>
      <vertAlign val="subscript"/>
      <sz val="10"/>
      <name val="Symbol"/>
      <family val="1"/>
      <charset val="2"/>
    </font>
    <font>
      <sz val="10"/>
      <name val="Arial"/>
      <family val="2"/>
    </font>
    <font>
      <b/>
      <sz val="12"/>
      <name val="Symbol"/>
      <family val="1"/>
      <charset val="2"/>
    </font>
    <font>
      <b/>
      <vertAlign val="subscript"/>
      <sz val="12"/>
      <name val="Arial"/>
      <family val="2"/>
    </font>
    <font>
      <sz val="16"/>
      <name val="Arial"/>
    </font>
    <font>
      <vertAlign val="subscript"/>
      <sz val="16"/>
      <name val="Symbol"/>
      <family val="1"/>
      <charset val="2"/>
    </font>
    <font>
      <vertAlign val="subscript"/>
      <sz val="16"/>
      <name val="Arial"/>
    </font>
    <font>
      <u/>
      <sz val="10"/>
      <color indexed="12"/>
      <name val="Arial"/>
    </font>
    <font>
      <b/>
      <i/>
      <sz val="10"/>
      <color indexed="11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i/>
      <u/>
      <sz val="10"/>
      <name val="Arial"/>
      <family val="2"/>
    </font>
    <font>
      <u/>
      <sz val="10"/>
      <color indexed="8"/>
      <name val="Arial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2" fontId="0" fillId="0" borderId="1" xfId="0" applyNumberFormat="1" applyBorder="1"/>
    <xf numFmtId="2" fontId="0" fillId="0" borderId="0" xfId="0" applyNumberFormat="1"/>
    <xf numFmtId="0" fontId="9" fillId="0" borderId="1" xfId="0" applyFont="1" applyBorder="1" applyAlignment="1">
      <alignment horizontal="center"/>
    </xf>
    <xf numFmtId="2" fontId="10" fillId="2" borderId="1" xfId="0" applyNumberFormat="1" applyFont="1" applyFill="1" applyBorder="1"/>
    <xf numFmtId="2" fontId="11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2" fontId="1" fillId="0" borderId="0" xfId="0" applyNumberFormat="1" applyFont="1" applyBorder="1"/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0" fillId="0" borderId="2" xfId="0" applyBorder="1" applyAlignment="1" applyProtection="1">
      <alignment horizontal="right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5" fillId="0" borderId="0" xfId="0" applyFont="1" applyAlignment="1" applyProtection="1">
      <alignment horizontal="right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80" fontId="0" fillId="2" borderId="0" xfId="0" applyNumberFormat="1" applyFill="1" applyBorder="1" applyAlignment="1">
      <alignment horizontal="center"/>
    </xf>
    <xf numFmtId="180" fontId="0" fillId="2" borderId="7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/>
    </xf>
    <xf numFmtId="166" fontId="0" fillId="2" borderId="2" xfId="0" applyNumberFormat="1" applyFill="1" applyBorder="1" applyAlignment="1">
      <alignment horizontal="center"/>
    </xf>
    <xf numFmtId="166" fontId="0" fillId="2" borderId="9" xfId="0" applyNumberFormat="1" applyFill="1" applyBorder="1" applyAlignment="1">
      <alignment horizontal="center"/>
    </xf>
    <xf numFmtId="0" fontId="8" fillId="0" borderId="0" xfId="0" applyFont="1"/>
    <xf numFmtId="2" fontId="0" fillId="0" borderId="0" xfId="0" applyNumberFormat="1" applyFill="1"/>
    <xf numFmtId="0" fontId="0" fillId="0" borderId="0" xfId="0" applyFill="1" applyAlignment="1" applyProtection="1">
      <alignment vertical="center"/>
      <protection locked="0"/>
    </xf>
    <xf numFmtId="3" fontId="0" fillId="0" borderId="0" xfId="0" applyNumberFormat="1" applyFill="1" applyAlignment="1" applyProtection="1">
      <alignment vertical="center"/>
      <protection locked="0"/>
    </xf>
    <xf numFmtId="0" fontId="0" fillId="0" borderId="0" xfId="0" applyFill="1"/>
    <xf numFmtId="0" fontId="0" fillId="0" borderId="2" xfId="0" applyFill="1" applyBorder="1" applyProtection="1"/>
    <xf numFmtId="168" fontId="0" fillId="0" borderId="0" xfId="0" applyNumberFormat="1" applyFill="1" applyAlignment="1" applyProtection="1">
      <alignment horizontal="right"/>
    </xf>
    <xf numFmtId="180" fontId="0" fillId="0" borderId="0" xfId="0" applyNumberFormat="1" applyFill="1" applyAlignment="1" applyProtection="1">
      <alignment horizontal="right"/>
    </xf>
    <xf numFmtId="166" fontId="0" fillId="0" borderId="0" xfId="0" applyNumberFormat="1" applyFill="1" applyAlignment="1" applyProtection="1">
      <alignment horizontal="right"/>
    </xf>
    <xf numFmtId="180" fontId="0" fillId="0" borderId="0" xfId="0" applyNumberFormat="1" applyFill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2" fontId="0" fillId="0" borderId="2" xfId="0" applyNumberFormat="1" applyFill="1" applyBorder="1" applyAlignment="1" applyProtection="1">
      <alignment horizontal="right"/>
    </xf>
    <xf numFmtId="168" fontId="0" fillId="0" borderId="2" xfId="0" applyNumberFormat="1" applyFill="1" applyBorder="1"/>
    <xf numFmtId="4" fontId="0" fillId="0" borderId="0" xfId="0" applyNumberFormat="1" applyFill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locked="0"/>
    </xf>
    <xf numFmtId="172" fontId="0" fillId="0" borderId="0" xfId="0" applyNumberFormat="1" applyAlignment="1">
      <alignment vertical="center"/>
    </xf>
    <xf numFmtId="2" fontId="0" fillId="0" borderId="0" xfId="0" applyNumberFormat="1" applyBorder="1"/>
    <xf numFmtId="172" fontId="0" fillId="0" borderId="0" xfId="0" applyNumberFormat="1"/>
    <xf numFmtId="0" fontId="15" fillId="0" borderId="2" xfId="0" applyFont="1" applyBorder="1" applyAlignment="1">
      <alignment horizontal="right"/>
    </xf>
    <xf numFmtId="2" fontId="0" fillId="0" borderId="2" xfId="0" applyNumberFormat="1" applyBorder="1"/>
    <xf numFmtId="168" fontId="0" fillId="0" borderId="2" xfId="0" applyNumberFormat="1" applyBorder="1"/>
    <xf numFmtId="4" fontId="0" fillId="0" borderId="0" xfId="0" applyNumberFormat="1"/>
    <xf numFmtId="4" fontId="0" fillId="0" borderId="0" xfId="0" applyNumberFormat="1" applyAlignment="1">
      <alignment vertical="center"/>
    </xf>
    <xf numFmtId="173" fontId="0" fillId="0" borderId="0" xfId="0" applyNumberFormat="1" applyBorder="1"/>
    <xf numFmtId="172" fontId="0" fillId="0" borderId="0" xfId="0" applyNumberFormat="1" applyFill="1" applyAlignment="1">
      <alignment vertical="center"/>
    </xf>
    <xf numFmtId="0" fontId="0" fillId="0" borderId="0" xfId="0" applyBorder="1" applyAlignment="1">
      <alignment horizontal="center"/>
    </xf>
    <xf numFmtId="168" fontId="0" fillId="0" borderId="0" xfId="0" applyNumberFormat="1" applyBorder="1"/>
    <xf numFmtId="2" fontId="0" fillId="3" borderId="1" xfId="0" applyNumberFormat="1" applyFill="1" applyBorder="1"/>
    <xf numFmtId="2" fontId="11" fillId="4" borderId="1" xfId="0" applyNumberFormat="1" applyFont="1" applyFill="1" applyBorder="1"/>
    <xf numFmtId="2" fontId="0" fillId="0" borderId="10" xfId="0" applyNumberFormat="1" applyBorder="1"/>
    <xf numFmtId="2" fontId="0" fillId="3" borderId="10" xfId="0" applyNumberFormat="1" applyFill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" xfId="0" applyNumberFormat="1" applyFill="1" applyBorder="1"/>
    <xf numFmtId="2" fontId="22" fillId="2" borderId="1" xfId="0" applyNumberFormat="1" applyFont="1" applyFill="1" applyBorder="1"/>
    <xf numFmtId="0" fontId="2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2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4" fontId="0" fillId="5" borderId="1" xfId="0" applyNumberFormat="1" applyFill="1" applyBorder="1"/>
    <xf numFmtId="0" fontId="0" fillId="0" borderId="0" xfId="0" applyBorder="1" applyAlignment="1"/>
    <xf numFmtId="4" fontId="0" fillId="0" borderId="0" xfId="0" applyNumberFormat="1" applyFill="1" applyBorder="1"/>
    <xf numFmtId="0" fontId="0" fillId="4" borderId="1" xfId="0" applyFill="1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6" fillId="0" borderId="0" xfId="0" applyFont="1" applyBorder="1" applyAlignment="1">
      <alignment horizontal="right"/>
    </xf>
    <xf numFmtId="0" fontId="0" fillId="0" borderId="7" xfId="0" applyBorder="1"/>
    <xf numFmtId="0" fontId="0" fillId="0" borderId="16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0" borderId="17" xfId="0" applyBorder="1" applyAlignment="1">
      <alignment horizontal="right"/>
    </xf>
    <xf numFmtId="0" fontId="24" fillId="0" borderId="2" xfId="0" applyFont="1" applyBorder="1"/>
    <xf numFmtId="0" fontId="0" fillId="0" borderId="9" xfId="0" applyBorder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center"/>
    </xf>
    <xf numFmtId="0" fontId="24" fillId="0" borderId="14" xfId="0" applyFont="1" applyBorder="1"/>
    <xf numFmtId="0" fontId="0" fillId="0" borderId="16" xfId="0" applyBorder="1" applyAlignment="1">
      <alignment horizontal="right"/>
    </xf>
    <xf numFmtId="0" fontId="27" fillId="0" borderId="0" xfId="0" applyFont="1" applyBorder="1"/>
    <xf numFmtId="0" fontId="15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4" fontId="23" fillId="0" borderId="0" xfId="0" applyNumberFormat="1" applyFont="1" applyFill="1" applyBorder="1"/>
    <xf numFmtId="0" fontId="0" fillId="0" borderId="7" xfId="0" applyBorder="1" applyAlignment="1"/>
    <xf numFmtId="49" fontId="0" fillId="0" borderId="0" xfId="0" applyNumberFormat="1" applyBorder="1"/>
    <xf numFmtId="0" fontId="0" fillId="0" borderId="17" xfId="0" applyBorder="1"/>
    <xf numFmtId="0" fontId="25" fillId="0" borderId="0" xfId="0" applyFont="1" applyBorder="1"/>
    <xf numFmtId="0" fontId="24" fillId="0" borderId="0" xfId="0" applyFont="1" applyBorder="1"/>
    <xf numFmtId="0" fontId="0" fillId="0" borderId="16" xfId="0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0" fillId="0" borderId="16" xfId="0" applyBorder="1" applyAlignment="1"/>
    <xf numFmtId="0" fontId="9" fillId="0" borderId="0" xfId="0" applyFont="1" applyFill="1" applyBorder="1" applyAlignment="1">
      <alignment horizontal="left"/>
    </xf>
    <xf numFmtId="0" fontId="28" fillId="0" borderId="0" xfId="1" applyFont="1" applyAlignment="1" applyProtection="1"/>
    <xf numFmtId="0" fontId="29" fillId="0" borderId="0" xfId="0" applyFont="1" applyFill="1"/>
    <xf numFmtId="0" fontId="0" fillId="0" borderId="0" xfId="0" applyAlignment="1">
      <alignment horizontal="left"/>
    </xf>
    <xf numFmtId="0" fontId="2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" fontId="0" fillId="6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57150</xdr:colOff>
      <xdr:row>7</xdr:row>
      <xdr:rowOff>190500</xdr:rowOff>
    </xdr:from>
    <xdr:to>
      <xdr:col>21</xdr:col>
      <xdr:colOff>752475</xdr:colOff>
      <xdr:row>42</xdr:row>
      <xdr:rowOff>95250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22CFE03-F97A-3595-1A59-AFBACB08D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514475"/>
          <a:ext cx="3743325" cy="602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63</xdr:col>
      <xdr:colOff>685800</xdr:colOff>
      <xdr:row>228</xdr:row>
      <xdr:rowOff>38100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54F593B2-EDAF-B96A-BF63-3F67324FF3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2881550" cy="4219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eur-bauwesen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E6CFB-FAAF-4F2F-B027-11785F5AF152}">
  <sheetPr>
    <pageSetUpPr fitToPage="1"/>
  </sheetPr>
  <dimension ref="B1:W57"/>
  <sheetViews>
    <sheetView tabSelected="1" zoomScale="75" workbookViewId="0">
      <selection activeCell="F6" sqref="F6:F18"/>
    </sheetView>
  </sheetViews>
  <sheetFormatPr baseColWidth="10" defaultRowHeight="12.75" x14ac:dyDescent="0.2"/>
  <cols>
    <col min="1" max="1" width="3.140625" customWidth="1"/>
    <col min="2" max="2" width="37.7109375" customWidth="1"/>
    <col min="3" max="3" width="9.42578125" customWidth="1"/>
    <col min="4" max="4" width="8.28515625" customWidth="1"/>
    <col min="5" max="5" width="4.28515625" customWidth="1"/>
    <col min="6" max="6" width="9.42578125" customWidth="1"/>
    <col min="7" max="7" width="6.5703125" customWidth="1"/>
    <col min="8" max="9" width="9.7109375" customWidth="1"/>
    <col min="10" max="10" width="4.7109375" customWidth="1"/>
    <col min="11" max="12" width="9.7109375" customWidth="1"/>
    <col min="13" max="13" width="4.7109375" customWidth="1"/>
    <col min="14" max="14" width="5" customWidth="1"/>
    <col min="15" max="17" width="4.7109375" customWidth="1"/>
    <col min="23" max="23" width="4.7109375" customWidth="1"/>
  </cols>
  <sheetData>
    <row r="1" spans="2:23" ht="18" x14ac:dyDescent="0.25">
      <c r="B1" s="39" t="s">
        <v>165</v>
      </c>
    </row>
    <row r="2" spans="2:23" ht="13.5" thickBot="1" x14ac:dyDescent="0.25"/>
    <row r="3" spans="2:23" x14ac:dyDescent="0.2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  <c r="P3" s="55"/>
      <c r="Q3" s="94"/>
      <c r="R3" s="95"/>
      <c r="S3" s="95"/>
      <c r="T3" s="95"/>
      <c r="U3" s="95"/>
      <c r="V3" s="95"/>
      <c r="W3" s="96"/>
    </row>
    <row r="4" spans="2:23" ht="15.75" x14ac:dyDescent="0.25">
      <c r="B4" s="97"/>
      <c r="C4" s="55"/>
      <c r="D4" s="55"/>
      <c r="E4" s="55"/>
      <c r="F4" s="98" t="s">
        <v>137</v>
      </c>
      <c r="G4" s="55"/>
      <c r="H4" s="139" t="s">
        <v>138</v>
      </c>
      <c r="I4" s="140"/>
      <c r="J4" s="55"/>
      <c r="K4" s="139" t="s">
        <v>138</v>
      </c>
      <c r="L4" s="140"/>
      <c r="M4" s="55"/>
      <c r="N4" s="55"/>
      <c r="O4" s="99"/>
      <c r="P4" s="55"/>
      <c r="Q4" s="97"/>
      <c r="R4" s="124" t="s">
        <v>158</v>
      </c>
      <c r="S4" s="55"/>
      <c r="T4" s="55"/>
      <c r="U4" s="55"/>
      <c r="V4" s="55"/>
      <c r="W4" s="99"/>
    </row>
    <row r="5" spans="2:23" x14ac:dyDescent="0.2">
      <c r="B5" s="97"/>
      <c r="C5" s="55"/>
      <c r="D5" s="55"/>
      <c r="E5" s="55"/>
      <c r="F5" s="55"/>
      <c r="G5" s="55"/>
      <c r="H5" s="141" t="s">
        <v>156</v>
      </c>
      <c r="I5" s="142"/>
      <c r="J5" s="55"/>
      <c r="K5" s="141" t="s">
        <v>157</v>
      </c>
      <c r="L5" s="142"/>
      <c r="M5" s="55"/>
      <c r="N5" s="55"/>
      <c r="O5" s="99"/>
      <c r="P5" s="55"/>
      <c r="Q5" s="97"/>
      <c r="R5" s="125" t="s">
        <v>139</v>
      </c>
      <c r="S5" s="55"/>
      <c r="T5" s="55"/>
      <c r="U5" s="55"/>
      <c r="V5" s="55"/>
      <c r="W5" s="99"/>
    </row>
    <row r="6" spans="2:23" ht="15.75" x14ac:dyDescent="0.2">
      <c r="B6" s="100" t="s">
        <v>150</v>
      </c>
      <c r="C6" s="87" t="s">
        <v>134</v>
      </c>
      <c r="D6" s="88" t="s">
        <v>54</v>
      </c>
      <c r="E6" s="101" t="s">
        <v>9</v>
      </c>
      <c r="F6" s="92">
        <v>2</v>
      </c>
      <c r="G6" s="88"/>
      <c r="H6" s="81" t="s">
        <v>132</v>
      </c>
      <c r="I6" s="81" t="s">
        <v>133</v>
      </c>
      <c r="J6" s="88"/>
      <c r="K6" s="81" t="s">
        <v>132</v>
      </c>
      <c r="L6" s="81" t="s">
        <v>133</v>
      </c>
      <c r="M6" s="88"/>
      <c r="N6" s="88"/>
      <c r="O6" s="102"/>
      <c r="P6" s="88"/>
      <c r="Q6" s="126"/>
      <c r="R6" s="55" t="s">
        <v>159</v>
      </c>
      <c r="S6" s="55"/>
      <c r="T6" s="55"/>
      <c r="U6" s="55"/>
      <c r="V6" s="55"/>
      <c r="W6" s="102"/>
    </row>
    <row r="7" spans="2:23" ht="15.75" x14ac:dyDescent="0.2">
      <c r="B7" s="100" t="s">
        <v>144</v>
      </c>
      <c r="C7" s="103" t="s">
        <v>145</v>
      </c>
      <c r="D7" s="104" t="s">
        <v>6</v>
      </c>
      <c r="E7" s="101" t="s">
        <v>9</v>
      </c>
      <c r="F7" s="93">
        <v>30</v>
      </c>
      <c r="G7" s="88"/>
      <c r="H7" s="82">
        <v>30</v>
      </c>
      <c r="I7" s="83">
        <v>1000</v>
      </c>
      <c r="J7" s="105" t="str">
        <f>IF(OR(F7&lt;30,F7&gt;1000),"AB"," ")</f>
        <v xml:space="preserve"> </v>
      </c>
      <c r="K7" s="82">
        <v>30</v>
      </c>
      <c r="L7" s="82">
        <v>1000</v>
      </c>
      <c r="M7" s="105" t="str">
        <f>IF(OR(F7&lt;30,F7&gt;1000),"AB"," ")</f>
        <v xml:space="preserve"> </v>
      </c>
      <c r="N7" s="105"/>
      <c r="O7" s="106"/>
      <c r="P7" s="105"/>
      <c r="Q7" s="127"/>
      <c r="R7" s="55" t="s">
        <v>160</v>
      </c>
      <c r="S7" s="55"/>
      <c r="T7" s="55"/>
      <c r="U7" s="55"/>
      <c r="V7" s="55"/>
      <c r="W7" s="106"/>
    </row>
    <row r="8" spans="2:23" ht="15.75" x14ac:dyDescent="0.2">
      <c r="B8" s="100" t="s">
        <v>143</v>
      </c>
      <c r="C8" s="87" t="s">
        <v>77</v>
      </c>
      <c r="D8" s="88" t="s">
        <v>6</v>
      </c>
      <c r="E8" s="107" t="s">
        <v>9</v>
      </c>
      <c r="F8" s="92">
        <v>11</v>
      </c>
      <c r="G8" s="88"/>
      <c r="H8" s="82">
        <v>5</v>
      </c>
      <c r="I8" s="82">
        <v>17.5</v>
      </c>
      <c r="J8" s="105" t="str">
        <f>IF(OR(F8&lt;5,F8&gt;17.5),"AB"," ")</f>
        <v xml:space="preserve"> </v>
      </c>
      <c r="K8" s="82">
        <v>5</v>
      </c>
      <c r="L8" s="82">
        <v>11.6</v>
      </c>
      <c r="M8" s="105" t="str">
        <f>IF(OR(F8&lt;5,F8&gt;11.6),"AB"," ")</f>
        <v xml:space="preserve"> </v>
      </c>
      <c r="N8" s="105"/>
      <c r="O8" s="106"/>
      <c r="P8" s="105"/>
      <c r="Q8" s="127"/>
      <c r="R8" s="55"/>
      <c r="S8" s="55"/>
      <c r="T8" s="55"/>
      <c r="U8" s="55"/>
      <c r="V8" s="55"/>
      <c r="W8" s="106"/>
    </row>
    <row r="9" spans="2:23" ht="15.75" x14ac:dyDescent="0.2">
      <c r="B9" s="100" t="s">
        <v>147</v>
      </c>
      <c r="C9" s="87" t="s">
        <v>53</v>
      </c>
      <c r="D9" s="88" t="s">
        <v>54</v>
      </c>
      <c r="E9" s="107" t="s">
        <v>9</v>
      </c>
      <c r="F9" s="92">
        <v>30</v>
      </c>
      <c r="G9" s="88"/>
      <c r="H9" s="82">
        <v>10</v>
      </c>
      <c r="I9" s="82">
        <v>50</v>
      </c>
      <c r="J9" s="105" t="str">
        <f>IF(OR(F9&lt;10,F9&gt;50),"AB"," ")</f>
        <v xml:space="preserve"> </v>
      </c>
      <c r="K9" s="82">
        <v>30</v>
      </c>
      <c r="L9" s="82">
        <v>50</v>
      </c>
      <c r="M9" s="105" t="str">
        <f>IF(OR(F9&lt;30,F9&gt;50),"AB"," ")</f>
        <v xml:space="preserve"> </v>
      </c>
      <c r="N9" s="105"/>
      <c r="O9" s="106"/>
      <c r="P9" s="105"/>
      <c r="Q9" s="127"/>
      <c r="R9" s="55"/>
      <c r="S9" s="55"/>
      <c r="T9" s="55"/>
      <c r="U9" s="55"/>
      <c r="V9" s="55"/>
      <c r="W9" s="106"/>
    </row>
    <row r="10" spans="2:23" ht="15.75" x14ac:dyDescent="0.2">
      <c r="B10" s="100" t="s">
        <v>140</v>
      </c>
      <c r="C10" s="108" t="s">
        <v>18</v>
      </c>
      <c r="D10" s="104" t="s">
        <v>19</v>
      </c>
      <c r="E10" s="101" t="s">
        <v>9</v>
      </c>
      <c r="F10" s="92">
        <v>26</v>
      </c>
      <c r="G10" s="88"/>
      <c r="H10" s="82">
        <v>17</v>
      </c>
      <c r="I10" s="82">
        <v>26</v>
      </c>
      <c r="J10" s="105" t="str">
        <f>IF(OR(F10&lt;17,F10&gt;26),"AB"," ")</f>
        <v xml:space="preserve"> </v>
      </c>
      <c r="K10" s="82">
        <v>26</v>
      </c>
      <c r="L10" s="84"/>
      <c r="M10" s="105" t="str">
        <f>IF(OR(F10&lt;26,F10&gt;26),"AB"," ")</f>
        <v xml:space="preserve"> </v>
      </c>
      <c r="N10" s="105"/>
      <c r="O10" s="106"/>
      <c r="P10" s="105"/>
      <c r="Q10" s="127"/>
      <c r="R10" s="55"/>
      <c r="S10" s="55"/>
      <c r="T10" s="55"/>
      <c r="U10" s="55"/>
      <c r="V10" s="55"/>
      <c r="W10" s="106"/>
    </row>
    <row r="11" spans="2:23" ht="15.75" x14ac:dyDescent="0.2">
      <c r="B11" s="100" t="s">
        <v>148</v>
      </c>
      <c r="C11" s="103" t="s">
        <v>20</v>
      </c>
      <c r="D11" s="104" t="s">
        <v>8</v>
      </c>
      <c r="E11" s="101" t="s">
        <v>9</v>
      </c>
      <c r="F11" s="93">
        <v>1000</v>
      </c>
      <c r="G11" s="88"/>
      <c r="H11" s="82">
        <v>100</v>
      </c>
      <c r="I11" s="83">
        <v>20000</v>
      </c>
      <c r="J11" s="105" t="str">
        <f>IF(OR(F11&lt;100,F11&gt;20000),"AB"," ")</f>
        <v xml:space="preserve"> </v>
      </c>
      <c r="K11" s="82">
        <v>100</v>
      </c>
      <c r="L11" s="82">
        <v>10000</v>
      </c>
      <c r="M11" s="105" t="str">
        <f>IF(OR(F11&lt;100,F11&gt;10000),"AB"," ")</f>
        <v xml:space="preserve"> </v>
      </c>
      <c r="N11" s="105"/>
      <c r="O11" s="106"/>
      <c r="P11" s="105"/>
      <c r="Q11" s="127"/>
      <c r="R11" s="55"/>
      <c r="S11" s="55"/>
      <c r="T11" s="55"/>
      <c r="U11" s="55"/>
      <c r="V11" s="55"/>
      <c r="W11" s="106"/>
    </row>
    <row r="12" spans="2:23" x14ac:dyDescent="0.2">
      <c r="B12" s="100" t="s">
        <v>141</v>
      </c>
      <c r="C12" s="85" t="s">
        <v>79</v>
      </c>
      <c r="D12" s="88" t="s">
        <v>15</v>
      </c>
      <c r="E12" s="107" t="s">
        <v>9</v>
      </c>
      <c r="F12" s="92">
        <v>0.2</v>
      </c>
      <c r="G12" s="88"/>
      <c r="H12" s="82">
        <v>0.2</v>
      </c>
      <c r="I12" s="82">
        <v>0.4</v>
      </c>
      <c r="J12" s="105" t="str">
        <f>IF(OR(F12&lt;0.2,F12&gt;0.4),"AB"," ")</f>
        <v xml:space="preserve"> </v>
      </c>
      <c r="K12" s="82">
        <v>0.25</v>
      </c>
      <c r="L12" s="82">
        <v>0.4</v>
      </c>
      <c r="M12" s="105" t="str">
        <f>IF(OR(F12&lt;0.25,F12&gt;0.4),"AB"," ")</f>
        <v>AB</v>
      </c>
      <c r="N12" s="105"/>
      <c r="O12" s="106"/>
      <c r="P12" s="105"/>
      <c r="Q12" s="127"/>
      <c r="R12" s="55"/>
      <c r="S12" s="55"/>
      <c r="T12" s="55"/>
      <c r="U12" s="55"/>
      <c r="V12" s="55"/>
      <c r="W12" s="106"/>
    </row>
    <row r="13" spans="2:23" ht="15.75" x14ac:dyDescent="0.2">
      <c r="B13" s="100" t="s">
        <v>152</v>
      </c>
      <c r="C13" s="85" t="s">
        <v>10</v>
      </c>
      <c r="D13" s="88" t="s">
        <v>7</v>
      </c>
      <c r="E13" s="107" t="s">
        <v>9</v>
      </c>
      <c r="F13" s="92">
        <v>210</v>
      </c>
      <c r="G13" s="88"/>
      <c r="H13" s="84"/>
      <c r="I13" s="84"/>
      <c r="J13" s="105"/>
      <c r="K13" s="82">
        <v>0</v>
      </c>
      <c r="L13" s="82">
        <v>360</v>
      </c>
      <c r="M13" s="105" t="str">
        <f>IF(OR(F13&lt;0,F13&gt;360),"AB"," ")</f>
        <v xml:space="preserve"> </v>
      </c>
      <c r="N13" s="105"/>
      <c r="O13" s="106"/>
      <c r="P13" s="105"/>
      <c r="Q13" s="127"/>
      <c r="R13" s="55"/>
      <c r="S13" s="55"/>
      <c r="T13" s="55"/>
      <c r="U13" s="55"/>
      <c r="V13" s="55"/>
      <c r="W13" s="106"/>
    </row>
    <row r="14" spans="2:23" x14ac:dyDescent="0.2">
      <c r="B14" s="100" t="s">
        <v>153</v>
      </c>
      <c r="C14" s="85" t="s">
        <v>11</v>
      </c>
      <c r="D14" s="88" t="s">
        <v>7</v>
      </c>
      <c r="E14" s="107" t="s">
        <v>9</v>
      </c>
      <c r="F14" s="92">
        <v>45</v>
      </c>
      <c r="G14" s="88"/>
      <c r="H14" s="84"/>
      <c r="I14" s="84"/>
      <c r="J14" s="105"/>
      <c r="K14" s="82">
        <v>0</v>
      </c>
      <c r="L14" s="82">
        <v>90</v>
      </c>
      <c r="M14" s="105" t="str">
        <f>IF(OR(F14&lt;0,F14&gt;90),"AB"," ")</f>
        <v xml:space="preserve"> </v>
      </c>
      <c r="N14" s="105"/>
      <c r="O14" s="106"/>
      <c r="P14" s="105"/>
      <c r="Q14" s="127"/>
      <c r="R14" s="55"/>
      <c r="S14" s="55"/>
      <c r="T14" s="55"/>
      <c r="U14" s="55"/>
      <c r="V14" s="55"/>
      <c r="W14" s="106"/>
    </row>
    <row r="15" spans="2:23" ht="15.75" x14ac:dyDescent="0.2">
      <c r="B15" s="100" t="s">
        <v>146</v>
      </c>
      <c r="C15" s="108" t="s">
        <v>0</v>
      </c>
      <c r="D15" s="104" t="s">
        <v>7</v>
      </c>
      <c r="E15" s="101" t="s">
        <v>9</v>
      </c>
      <c r="F15" s="92">
        <v>25</v>
      </c>
      <c r="G15" s="88"/>
      <c r="H15" s="82">
        <v>15</v>
      </c>
      <c r="I15" s="82">
        <v>45</v>
      </c>
      <c r="J15" s="105" t="str">
        <f>IF(OR(F15&lt;15,F15&gt;45),"AB"," ")</f>
        <v xml:space="preserve"> </v>
      </c>
      <c r="K15" s="82">
        <v>25</v>
      </c>
      <c r="L15" s="82">
        <v>45</v>
      </c>
      <c r="M15" s="105" t="str">
        <f>IF(OR(F15&lt;25,F15&gt;45),"AB"," ")</f>
        <v xml:space="preserve"> </v>
      </c>
      <c r="N15" s="105"/>
      <c r="O15" s="106"/>
      <c r="P15" s="105"/>
      <c r="Q15" s="127"/>
      <c r="R15" s="55"/>
      <c r="S15" s="55"/>
      <c r="T15" s="55"/>
      <c r="U15" s="55"/>
      <c r="V15" s="55"/>
      <c r="W15" s="106"/>
    </row>
    <row r="16" spans="2:23" ht="15.75" x14ac:dyDescent="0.2">
      <c r="B16" s="100" t="s">
        <v>154</v>
      </c>
      <c r="C16" s="85" t="s">
        <v>1</v>
      </c>
      <c r="D16" s="88" t="s">
        <v>7</v>
      </c>
      <c r="E16" s="107" t="s">
        <v>9</v>
      </c>
      <c r="F16" s="92">
        <v>10</v>
      </c>
      <c r="G16" s="88"/>
      <c r="H16" s="84"/>
      <c r="I16" s="84"/>
      <c r="J16" s="105"/>
      <c r="K16" s="82">
        <v>10</v>
      </c>
      <c r="L16" s="82">
        <v>20</v>
      </c>
      <c r="M16" s="105" t="str">
        <f>IF(OR(F16&lt;10,F16&gt;20),"AB"," ")</f>
        <v xml:space="preserve"> </v>
      </c>
      <c r="N16" s="105"/>
      <c r="O16" s="106"/>
      <c r="P16" s="105"/>
      <c r="Q16" s="127"/>
      <c r="R16" s="55"/>
      <c r="S16" s="55"/>
      <c r="T16" s="55"/>
      <c r="U16" s="55"/>
      <c r="V16" s="55"/>
      <c r="W16" s="106"/>
    </row>
    <row r="17" spans="2:23" ht="15.75" x14ac:dyDescent="0.2">
      <c r="B17" s="100" t="s">
        <v>142</v>
      </c>
      <c r="C17" s="103" t="s">
        <v>4</v>
      </c>
      <c r="D17" s="104" t="s">
        <v>8</v>
      </c>
      <c r="E17" s="101" t="s">
        <v>9</v>
      </c>
      <c r="F17" s="92">
        <v>0.3</v>
      </c>
      <c r="G17" s="88"/>
      <c r="H17" s="86">
        <v>0.1</v>
      </c>
      <c r="I17" s="86">
        <v>2</v>
      </c>
      <c r="J17" s="105" t="str">
        <f>IF(OR(F17&lt;0.1,F17&gt;2),"AB"," ")</f>
        <v xml:space="preserve"> </v>
      </c>
      <c r="K17" s="86">
        <v>0.3</v>
      </c>
      <c r="L17" s="86">
        <v>1</v>
      </c>
      <c r="M17" s="105" t="str">
        <f>IF(OR(F17&lt;0.3,F17&gt;1),"AB"," ")</f>
        <v xml:space="preserve"> </v>
      </c>
      <c r="N17" s="105"/>
      <c r="O17" s="106"/>
      <c r="P17" s="105"/>
      <c r="Q17" s="127"/>
      <c r="R17" s="55"/>
      <c r="S17" s="55"/>
      <c r="T17" s="55"/>
      <c r="U17" s="55"/>
      <c r="V17" s="55"/>
      <c r="W17" s="106"/>
    </row>
    <row r="18" spans="2:23" ht="15.75" x14ac:dyDescent="0.2">
      <c r="B18" s="100" t="s">
        <v>149</v>
      </c>
      <c r="C18" s="87" t="s">
        <v>5</v>
      </c>
      <c r="D18" s="88" t="s">
        <v>8</v>
      </c>
      <c r="E18" s="107" t="s">
        <v>9</v>
      </c>
      <c r="F18" s="92">
        <v>0.1</v>
      </c>
      <c r="G18" s="88"/>
      <c r="H18" s="84"/>
      <c r="I18" s="84"/>
      <c r="J18" s="105"/>
      <c r="K18" s="82">
        <v>0.01</v>
      </c>
      <c r="L18" s="82">
        <v>0.25</v>
      </c>
      <c r="M18" s="105" t="str">
        <f>IF(OR(F18&lt;0.01,F18&gt;0.25),"AB"," ")</f>
        <v xml:space="preserve"> </v>
      </c>
      <c r="N18" s="105"/>
      <c r="O18" s="106"/>
      <c r="P18" s="105"/>
      <c r="Q18" s="127"/>
      <c r="R18" s="55"/>
      <c r="S18" s="55"/>
      <c r="T18" s="55"/>
      <c r="U18" s="55"/>
      <c r="V18" s="55"/>
      <c r="W18" s="106"/>
    </row>
    <row r="19" spans="2:23" ht="13.5" thickBot="1" x14ac:dyDescent="0.25">
      <c r="B19" s="109"/>
      <c r="C19" s="11"/>
      <c r="D19" s="12"/>
      <c r="E19" s="13"/>
      <c r="F19" s="12"/>
      <c r="G19" s="12"/>
      <c r="H19" s="12"/>
      <c r="I19" s="12"/>
      <c r="J19" s="110"/>
      <c r="K19" s="12"/>
      <c r="L19" s="12"/>
      <c r="M19" s="12"/>
      <c r="N19" s="12"/>
      <c r="O19" s="111"/>
      <c r="P19" s="55"/>
      <c r="Q19" s="97"/>
      <c r="R19" s="55"/>
      <c r="S19" s="55"/>
      <c r="T19" s="55"/>
      <c r="U19" s="55"/>
      <c r="V19" s="55"/>
      <c r="W19" s="99"/>
    </row>
    <row r="20" spans="2:23" ht="13.5" thickBot="1" x14ac:dyDescent="0.25">
      <c r="B20" s="7"/>
      <c r="C20" s="9"/>
      <c r="E20" s="6"/>
      <c r="J20" s="80"/>
      <c r="Q20" s="97"/>
      <c r="R20" s="55"/>
      <c r="S20" s="55"/>
      <c r="T20" s="55"/>
      <c r="U20" s="55"/>
      <c r="V20" s="55"/>
      <c r="W20" s="99"/>
    </row>
    <row r="21" spans="2:23" x14ac:dyDescent="0.2">
      <c r="B21" s="112"/>
      <c r="C21" s="113"/>
      <c r="D21" s="95"/>
      <c r="E21" s="114"/>
      <c r="F21" s="95"/>
      <c r="G21" s="95"/>
      <c r="H21" s="95"/>
      <c r="I21" s="95"/>
      <c r="J21" s="115"/>
      <c r="K21" s="95"/>
      <c r="L21" s="95"/>
      <c r="M21" s="95"/>
      <c r="N21" s="95"/>
      <c r="O21" s="96"/>
      <c r="P21" s="55"/>
      <c r="Q21" s="97"/>
      <c r="R21" s="55"/>
      <c r="S21" s="55"/>
      <c r="T21" s="55"/>
      <c r="U21" s="55"/>
      <c r="V21" s="55"/>
      <c r="W21" s="99"/>
    </row>
    <row r="22" spans="2:23" ht="15.75" x14ac:dyDescent="0.25">
      <c r="B22" s="116"/>
      <c r="C22" s="55"/>
      <c r="D22" s="55"/>
      <c r="E22" s="55"/>
      <c r="F22" s="98" t="s">
        <v>136</v>
      </c>
      <c r="G22" s="55"/>
      <c r="H22" s="55"/>
      <c r="I22" s="55"/>
      <c r="J22" s="55"/>
      <c r="K22" s="55"/>
      <c r="L22" s="55"/>
      <c r="M22" s="55"/>
      <c r="N22" s="55"/>
      <c r="O22" s="99"/>
      <c r="P22" s="55"/>
      <c r="Q22" s="97"/>
      <c r="R22" s="55"/>
      <c r="S22" s="55"/>
      <c r="T22" s="55"/>
      <c r="U22" s="55"/>
      <c r="V22" s="55"/>
      <c r="W22" s="99"/>
    </row>
    <row r="23" spans="2:23" x14ac:dyDescent="0.2">
      <c r="B23" s="116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99"/>
      <c r="P23" s="55"/>
      <c r="Q23" s="97"/>
      <c r="R23" s="55"/>
      <c r="S23" s="55"/>
      <c r="T23" s="55"/>
      <c r="U23" s="55"/>
      <c r="V23" s="55"/>
      <c r="W23" s="99"/>
    </row>
    <row r="24" spans="2:23" x14ac:dyDescent="0.2">
      <c r="B24" s="116"/>
      <c r="C24" s="117" t="s">
        <v>130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99"/>
      <c r="P24" s="55"/>
      <c r="Q24" s="97"/>
      <c r="R24" s="55"/>
      <c r="S24" s="55"/>
      <c r="T24" s="55"/>
      <c r="U24" s="55"/>
      <c r="V24" s="55"/>
      <c r="W24" s="99"/>
    </row>
    <row r="25" spans="2:23" x14ac:dyDescent="0.2">
      <c r="B25" s="116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99"/>
      <c r="P25" s="55"/>
      <c r="Q25" s="97"/>
      <c r="R25" s="55"/>
      <c r="S25" s="55"/>
      <c r="T25" s="55"/>
      <c r="U25" s="55"/>
      <c r="V25" s="55"/>
      <c r="W25" s="99"/>
    </row>
    <row r="26" spans="2:23" ht="15.75" customHeight="1" x14ac:dyDescent="0.3">
      <c r="B26" s="116" t="s">
        <v>151</v>
      </c>
      <c r="C26" s="118" t="s">
        <v>34</v>
      </c>
      <c r="D26" s="104" t="s">
        <v>35</v>
      </c>
      <c r="E26" s="119" t="s">
        <v>9</v>
      </c>
      <c r="F26" s="89">
        <f>'+'!E36</f>
        <v>0.81090798320000002</v>
      </c>
      <c r="G26" s="120">
        <f>F6-F26</f>
        <v>1.1890920168000001</v>
      </c>
      <c r="H26" s="55"/>
      <c r="I26" s="55"/>
      <c r="J26" s="55"/>
      <c r="K26" s="55"/>
      <c r="L26" s="55"/>
      <c r="M26" s="55"/>
      <c r="N26" s="55"/>
      <c r="O26" s="99"/>
      <c r="P26" s="55"/>
      <c r="Q26" s="97"/>
      <c r="R26" s="55"/>
      <c r="S26" s="55"/>
      <c r="T26" s="55"/>
      <c r="U26" s="55"/>
      <c r="V26" s="55"/>
      <c r="W26" s="99"/>
    </row>
    <row r="27" spans="2:23" ht="8.1" customHeight="1" thickBot="1" x14ac:dyDescent="0.25">
      <c r="B27" s="116"/>
      <c r="C27" s="118"/>
      <c r="D27" s="104"/>
      <c r="E27" s="119"/>
      <c r="F27" s="91"/>
      <c r="G27" s="120"/>
      <c r="H27" s="55"/>
      <c r="I27" s="55"/>
      <c r="J27" s="55"/>
      <c r="K27" s="55"/>
      <c r="L27" s="55"/>
      <c r="M27" s="55"/>
      <c r="N27" s="55"/>
      <c r="O27" s="99"/>
      <c r="P27" s="55"/>
      <c r="Q27" s="97"/>
      <c r="R27" s="55"/>
      <c r="S27" s="55"/>
      <c r="T27" s="55"/>
      <c r="U27" s="55"/>
      <c r="V27" s="55"/>
      <c r="W27" s="99"/>
    </row>
    <row r="28" spans="2:23" ht="13.5" thickBot="1" x14ac:dyDescent="0.25">
      <c r="B28" s="116"/>
      <c r="C28" s="136" t="str">
        <f>IF(G26&lt;0,"Kriterium nicht erfüllt =&gt; Anwendung der Formeln für Prognose Gebirgsspanungen unzulässig!!","Kriterium erfüllt =&gt; Die Tübbingsicherung kann mit den angegebenen Gebirgsspannungen bemessen werden.")</f>
        <v>Kriterium erfüllt =&gt; Die Tübbingsicherung kann mit den angegebenen Gebirgsspannungen bemessen werden.</v>
      </c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8"/>
      <c r="O28" s="121"/>
      <c r="P28" s="90"/>
      <c r="Q28" s="128"/>
      <c r="R28" s="55"/>
      <c r="S28" s="55"/>
      <c r="T28" s="55"/>
      <c r="U28" s="55"/>
      <c r="V28" s="55"/>
      <c r="W28" s="121"/>
    </row>
    <row r="29" spans="2:23" ht="8.1" customHeight="1" x14ac:dyDescent="0.2">
      <c r="B29" s="116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21"/>
      <c r="P29" s="90"/>
      <c r="Q29" s="128"/>
      <c r="R29" s="55"/>
      <c r="S29" s="55"/>
      <c r="T29" s="55"/>
      <c r="U29" s="55"/>
      <c r="V29" s="55"/>
      <c r="W29" s="121"/>
    </row>
    <row r="30" spans="2:23" ht="15.75" x14ac:dyDescent="0.3">
      <c r="B30" s="116" t="s">
        <v>161</v>
      </c>
      <c r="C30" s="8" t="s">
        <v>63</v>
      </c>
      <c r="D30" s="88" t="s">
        <v>75</v>
      </c>
      <c r="E30" s="70" t="s">
        <v>9</v>
      </c>
      <c r="F30" s="89">
        <f>'+'!E74</f>
        <v>-73.838413237410521</v>
      </c>
      <c r="G30" s="122" t="s">
        <v>135</v>
      </c>
      <c r="H30" s="55"/>
      <c r="I30" s="55"/>
      <c r="J30" s="55"/>
      <c r="K30" s="55"/>
      <c r="L30" s="55"/>
      <c r="M30" s="55"/>
      <c r="N30" s="55"/>
      <c r="O30" s="99"/>
      <c r="P30" s="55"/>
      <c r="Q30" s="97"/>
      <c r="R30" s="55"/>
      <c r="S30" s="55"/>
      <c r="T30" s="55"/>
      <c r="U30" s="55"/>
      <c r="V30" s="55"/>
      <c r="W30" s="99"/>
    </row>
    <row r="31" spans="2:23" ht="15.75" x14ac:dyDescent="0.3">
      <c r="B31" s="116" t="s">
        <v>162</v>
      </c>
      <c r="C31" s="8" t="s">
        <v>93</v>
      </c>
      <c r="D31" s="88" t="s">
        <v>75</v>
      </c>
      <c r="E31" s="70" t="s">
        <v>9</v>
      </c>
      <c r="F31" s="89">
        <f>'+'!E121</f>
        <v>-149.24493168928657</v>
      </c>
      <c r="G31" s="55"/>
      <c r="H31" s="55"/>
      <c r="I31" s="55"/>
      <c r="J31" s="55"/>
      <c r="K31" s="55"/>
      <c r="L31" s="55"/>
      <c r="M31" s="55"/>
      <c r="N31" s="55"/>
      <c r="O31" s="99"/>
      <c r="P31" s="55"/>
      <c r="Q31" s="97"/>
      <c r="R31" s="55"/>
      <c r="S31" s="55"/>
      <c r="T31" s="55"/>
      <c r="U31" s="55"/>
      <c r="V31" s="55"/>
      <c r="W31" s="99"/>
    </row>
    <row r="32" spans="2:23" ht="15.75" x14ac:dyDescent="0.3">
      <c r="B32" s="116" t="s">
        <v>155</v>
      </c>
      <c r="C32" s="8" t="s">
        <v>127</v>
      </c>
      <c r="D32" s="88" t="s">
        <v>75</v>
      </c>
      <c r="E32" s="70" t="s">
        <v>9</v>
      </c>
      <c r="F32" s="89">
        <f>'+'!E161</f>
        <v>-154.55272307699789</v>
      </c>
      <c r="G32" s="55"/>
      <c r="H32" s="55"/>
      <c r="I32" s="55"/>
      <c r="J32" s="55"/>
      <c r="K32" s="55"/>
      <c r="L32" s="55"/>
      <c r="M32" s="55"/>
      <c r="N32" s="55"/>
      <c r="O32" s="99"/>
      <c r="P32" s="55"/>
      <c r="Q32" s="97"/>
      <c r="R32" s="55"/>
      <c r="S32" s="55"/>
      <c r="T32" s="55"/>
      <c r="U32" s="55"/>
      <c r="V32" s="55"/>
      <c r="W32" s="99"/>
    </row>
    <row r="33" spans="2:23" x14ac:dyDescent="0.2">
      <c r="B33" s="11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99"/>
      <c r="P33" s="55"/>
      <c r="Q33" s="97"/>
      <c r="R33" s="55"/>
      <c r="S33" s="55"/>
      <c r="T33" s="55"/>
      <c r="U33" s="55"/>
      <c r="V33" s="55"/>
      <c r="W33" s="99"/>
    </row>
    <row r="34" spans="2:23" x14ac:dyDescent="0.2">
      <c r="B34" s="116"/>
      <c r="C34" s="117" t="s">
        <v>131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99"/>
      <c r="P34" s="55"/>
      <c r="Q34" s="97"/>
      <c r="R34" s="55"/>
      <c r="S34" s="55"/>
      <c r="T34" s="55"/>
      <c r="U34" s="55"/>
      <c r="V34" s="55"/>
      <c r="W34" s="99"/>
    </row>
    <row r="35" spans="2:23" x14ac:dyDescent="0.2">
      <c r="B35" s="11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99"/>
      <c r="P35" s="55"/>
      <c r="Q35" s="97"/>
      <c r="R35" s="55"/>
      <c r="S35" s="55"/>
      <c r="T35" s="55"/>
      <c r="U35" s="55"/>
      <c r="V35" s="55"/>
      <c r="W35" s="99"/>
    </row>
    <row r="36" spans="2:23" ht="15.75" x14ac:dyDescent="0.3">
      <c r="B36" s="116" t="s">
        <v>151</v>
      </c>
      <c r="C36" s="118" t="s">
        <v>46</v>
      </c>
      <c r="D36" s="104" t="s">
        <v>35</v>
      </c>
      <c r="E36" s="119" t="s">
        <v>9</v>
      </c>
      <c r="F36" s="89">
        <f>'+'!E37</f>
        <v>0.90449095134547663</v>
      </c>
      <c r="G36" s="120">
        <f>F6-F36</f>
        <v>1.0955090486545234</v>
      </c>
      <c r="H36" s="55"/>
      <c r="I36" s="55"/>
      <c r="J36" s="55"/>
      <c r="K36" s="55"/>
      <c r="L36" s="55"/>
      <c r="M36" s="55"/>
      <c r="N36" s="55"/>
      <c r="O36" s="99"/>
      <c r="P36" s="55"/>
      <c r="Q36" s="97"/>
      <c r="R36" s="55"/>
      <c r="S36" s="55"/>
      <c r="T36" s="55"/>
      <c r="U36" s="55"/>
      <c r="V36" s="55"/>
      <c r="W36" s="99"/>
    </row>
    <row r="37" spans="2:23" ht="8.1" customHeight="1" thickBot="1" x14ac:dyDescent="0.25">
      <c r="B37" s="116"/>
      <c r="C37" s="118"/>
      <c r="D37" s="104"/>
      <c r="E37" s="119"/>
      <c r="F37" s="91"/>
      <c r="G37" s="120"/>
      <c r="H37" s="55"/>
      <c r="I37" s="55"/>
      <c r="J37" s="55"/>
      <c r="K37" s="55"/>
      <c r="L37" s="55"/>
      <c r="M37" s="55"/>
      <c r="N37" s="55"/>
      <c r="O37" s="99"/>
      <c r="P37" s="55"/>
      <c r="Q37" s="97"/>
      <c r="R37" s="55"/>
      <c r="S37" s="55"/>
      <c r="T37" s="55"/>
      <c r="U37" s="55"/>
      <c r="V37" s="55"/>
      <c r="W37" s="99"/>
    </row>
    <row r="38" spans="2:23" ht="13.5" thickBot="1" x14ac:dyDescent="0.25">
      <c r="B38" s="116"/>
      <c r="C38" s="136" t="str">
        <f>IF(G36&lt;0,"Kriterium nicht erfüllt =&gt; Anwendung der Formeln für Prognose Gebirgsspanungen unzulässig!!","Kriterium erfüllt =&gt; Die Tübbingsicherung kann mit den angegebenen Gebirgsspannungen bemessen werden.")</f>
        <v>Kriterium erfüllt =&gt; Die Tübbingsicherung kann mit den angegebenen Gebirgsspannungen bemessen werden.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8"/>
      <c r="O38" s="121"/>
      <c r="P38" s="90"/>
      <c r="Q38" s="128"/>
      <c r="R38" s="55"/>
      <c r="S38" s="55"/>
      <c r="T38" s="55"/>
      <c r="U38" s="55"/>
      <c r="V38" s="55"/>
      <c r="W38" s="121"/>
    </row>
    <row r="39" spans="2:23" ht="8.1" customHeight="1" x14ac:dyDescent="0.2">
      <c r="B39" s="116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121"/>
      <c r="P39" s="90"/>
      <c r="Q39" s="128"/>
      <c r="R39" s="55"/>
      <c r="S39" s="55"/>
      <c r="T39" s="55"/>
      <c r="U39" s="55"/>
      <c r="V39" s="55"/>
      <c r="W39" s="121"/>
    </row>
    <row r="40" spans="2:23" ht="15.75" x14ac:dyDescent="0.3">
      <c r="B40" s="116" t="s">
        <v>161</v>
      </c>
      <c r="C40" s="8" t="s">
        <v>64</v>
      </c>
      <c r="D40" s="88" t="s">
        <v>75</v>
      </c>
      <c r="E40" s="70" t="s">
        <v>9</v>
      </c>
      <c r="F40" s="89">
        <f>'+'!E75</f>
        <v>-112.86609365633382</v>
      </c>
      <c r="G40" s="122" t="s">
        <v>135</v>
      </c>
      <c r="H40" s="55"/>
      <c r="I40" s="55"/>
      <c r="J40" s="55"/>
      <c r="K40" s="55"/>
      <c r="L40" s="55"/>
      <c r="M40" s="55"/>
      <c r="N40" s="55"/>
      <c r="O40" s="99"/>
      <c r="P40" s="55"/>
      <c r="Q40" s="97"/>
      <c r="R40" s="55"/>
      <c r="S40" s="55"/>
      <c r="T40" s="55"/>
      <c r="U40" s="55"/>
      <c r="V40" s="55"/>
      <c r="W40" s="99"/>
    </row>
    <row r="41" spans="2:23" ht="15.75" x14ac:dyDescent="0.3">
      <c r="B41" s="116" t="s">
        <v>164</v>
      </c>
      <c r="C41" s="8" t="s">
        <v>94</v>
      </c>
      <c r="D41" s="88" t="s">
        <v>75</v>
      </c>
      <c r="E41" s="70" t="s">
        <v>9</v>
      </c>
      <c r="F41" s="89">
        <f>'+'!E122</f>
        <v>-156.08210966329767</v>
      </c>
      <c r="G41" s="55"/>
      <c r="H41" s="55"/>
      <c r="I41" s="55"/>
      <c r="J41" s="55"/>
      <c r="K41" s="55"/>
      <c r="L41" s="55"/>
      <c r="M41" s="55"/>
      <c r="N41" s="55"/>
      <c r="O41" s="99"/>
      <c r="P41" s="55"/>
      <c r="Q41" s="97"/>
      <c r="R41" s="55"/>
      <c r="S41" s="55"/>
      <c r="T41" s="55"/>
      <c r="U41" s="55"/>
      <c r="V41" s="55"/>
      <c r="W41" s="99"/>
    </row>
    <row r="42" spans="2:23" ht="15.75" x14ac:dyDescent="0.3">
      <c r="B42" s="116" t="s">
        <v>163</v>
      </c>
      <c r="C42" s="8" t="s">
        <v>95</v>
      </c>
      <c r="D42" s="88" t="s">
        <v>75</v>
      </c>
      <c r="E42" s="70" t="s">
        <v>9</v>
      </c>
      <c r="F42" s="89">
        <f>'+'!E123</f>
        <v>-155.61180410505941</v>
      </c>
      <c r="G42" s="55"/>
      <c r="H42" s="55"/>
      <c r="I42" s="55"/>
      <c r="J42" s="55"/>
      <c r="K42" s="55"/>
      <c r="L42" s="55"/>
      <c r="M42" s="55"/>
      <c r="N42" s="55"/>
      <c r="O42" s="99"/>
      <c r="P42" s="55"/>
      <c r="Q42" s="97"/>
      <c r="R42" s="55"/>
      <c r="S42" s="55"/>
      <c r="T42" s="55"/>
      <c r="U42" s="55"/>
      <c r="V42" s="55"/>
      <c r="W42" s="99"/>
    </row>
    <row r="43" spans="2:23" ht="15.75" x14ac:dyDescent="0.3">
      <c r="B43" s="116" t="s">
        <v>155</v>
      </c>
      <c r="C43" s="8" t="s">
        <v>128</v>
      </c>
      <c r="D43" s="88" t="s">
        <v>75</v>
      </c>
      <c r="E43" s="70" t="s">
        <v>9</v>
      </c>
      <c r="F43" s="89">
        <f>'+'!E162</f>
        <v>-304.38520834713142</v>
      </c>
      <c r="G43" s="55"/>
      <c r="H43" s="55"/>
      <c r="I43" s="55"/>
      <c r="J43" s="55"/>
      <c r="K43" s="55"/>
      <c r="L43" s="55"/>
      <c r="M43" s="55"/>
      <c r="N43" s="55"/>
      <c r="O43" s="99"/>
      <c r="P43" s="55"/>
      <c r="Q43" s="97"/>
      <c r="R43" s="55"/>
      <c r="S43" s="55"/>
      <c r="T43" s="55"/>
      <c r="U43" s="55"/>
      <c r="V43" s="55"/>
      <c r="W43" s="99"/>
    </row>
    <row r="44" spans="2:23" ht="13.5" thickBot="1" x14ac:dyDescent="0.25">
      <c r="B44" s="123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11"/>
      <c r="P44" s="55"/>
      <c r="Q44" s="123"/>
      <c r="R44" s="12"/>
      <c r="S44" s="12"/>
      <c r="T44" s="12"/>
      <c r="U44" s="12"/>
      <c r="V44" s="12"/>
      <c r="W44" s="111"/>
    </row>
    <row r="45" spans="2:23" ht="13.5" thickBot="1" x14ac:dyDescent="0.25"/>
    <row r="46" spans="2:23" x14ac:dyDescent="0.2">
      <c r="B46" s="94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2:23" ht="15.75" x14ac:dyDescent="0.25">
      <c r="B47" s="97"/>
      <c r="C47" s="55"/>
      <c r="D47" s="55"/>
      <c r="E47" s="55"/>
      <c r="F47" s="133" t="s">
        <v>179</v>
      </c>
      <c r="G47" s="55"/>
      <c r="H47" s="55"/>
      <c r="I47" s="55"/>
      <c r="J47" s="55"/>
      <c r="K47" s="55"/>
      <c r="L47" s="55"/>
      <c r="M47" s="55"/>
      <c r="N47" s="55"/>
      <c r="O47" s="99"/>
    </row>
    <row r="48" spans="2:23" x14ac:dyDescent="0.2">
      <c r="B48" s="97"/>
      <c r="C48" s="55"/>
      <c r="D48" s="55"/>
      <c r="E48" s="55"/>
      <c r="F48" s="134" t="s">
        <v>180</v>
      </c>
      <c r="G48" s="55"/>
      <c r="H48" s="55"/>
      <c r="I48" s="55"/>
      <c r="J48" s="55"/>
      <c r="K48" s="55"/>
      <c r="L48" s="55"/>
      <c r="M48" s="55"/>
      <c r="N48" s="55"/>
      <c r="O48" s="99"/>
    </row>
    <row r="49" spans="2:20" x14ac:dyDescent="0.2">
      <c r="B49" s="97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99"/>
    </row>
    <row r="50" spans="2:20" x14ac:dyDescent="0.2">
      <c r="B50" s="97"/>
      <c r="C50" s="9" t="s">
        <v>181</v>
      </c>
      <c r="D50" s="55" t="s">
        <v>178</v>
      </c>
      <c r="E50" s="70" t="s">
        <v>9</v>
      </c>
      <c r="F50" s="135">
        <f>'+'!E180</f>
        <v>35.32180641851069</v>
      </c>
      <c r="G50" s="55"/>
      <c r="H50" s="55"/>
      <c r="I50" s="55"/>
      <c r="J50" s="55"/>
      <c r="K50" s="55"/>
      <c r="L50" s="55"/>
      <c r="M50" s="55"/>
      <c r="N50" s="55"/>
      <c r="O50" s="99"/>
    </row>
    <row r="51" spans="2:20" x14ac:dyDescent="0.2">
      <c r="B51" s="97"/>
      <c r="C51" s="9" t="s">
        <v>182</v>
      </c>
      <c r="D51" s="55" t="s">
        <v>178</v>
      </c>
      <c r="E51" s="70" t="s">
        <v>9</v>
      </c>
      <c r="F51" s="135">
        <f>'+'!E182</f>
        <v>90.533536764434558</v>
      </c>
      <c r="G51" s="55"/>
      <c r="H51" s="55"/>
      <c r="I51" s="55"/>
      <c r="J51" s="55"/>
      <c r="K51" s="55"/>
      <c r="L51" s="55"/>
      <c r="M51" s="55"/>
      <c r="N51" s="55"/>
      <c r="O51" s="99"/>
    </row>
    <row r="52" spans="2:20" x14ac:dyDescent="0.2">
      <c r="B52" s="97"/>
      <c r="C52" s="9" t="s">
        <v>175</v>
      </c>
      <c r="D52" s="55" t="s">
        <v>178</v>
      </c>
      <c r="E52" s="70" t="s">
        <v>9</v>
      </c>
      <c r="F52" s="135">
        <f>'+'!E181</f>
        <v>70.452321302476491</v>
      </c>
      <c r="G52" s="55"/>
      <c r="H52" s="55"/>
      <c r="I52" s="55"/>
      <c r="J52" s="55"/>
      <c r="K52" s="55"/>
      <c r="L52" s="55"/>
      <c r="M52" s="55"/>
      <c r="N52" s="55"/>
      <c r="O52" s="99"/>
    </row>
    <row r="53" spans="2:20" ht="13.5" thickBot="1" x14ac:dyDescent="0.25">
      <c r="B53" s="123"/>
      <c r="C53" s="12"/>
      <c r="D53" s="12"/>
      <c r="E53" s="13"/>
      <c r="F53" s="12"/>
      <c r="G53" s="12"/>
      <c r="H53" s="12"/>
      <c r="I53" s="12"/>
      <c r="J53" s="12"/>
      <c r="K53" s="12"/>
      <c r="L53" s="12"/>
      <c r="M53" s="12"/>
      <c r="N53" s="12"/>
      <c r="O53" s="111"/>
    </row>
    <row r="55" spans="2:20" x14ac:dyDescent="0.2">
      <c r="B55" s="129" t="s">
        <v>166</v>
      </c>
    </row>
    <row r="56" spans="2:20" x14ac:dyDescent="0.2">
      <c r="B56" s="129"/>
    </row>
    <row r="57" spans="2:20" ht="15.75" x14ac:dyDescent="0.25">
      <c r="B57" s="130" t="s">
        <v>167</v>
      </c>
      <c r="T57" s="131" t="s">
        <v>183</v>
      </c>
    </row>
  </sheetData>
  <sheetProtection password="C7F6" sheet="1" objects="1" scenarios="1" selectLockedCells="1"/>
  <mergeCells count="6">
    <mergeCell ref="C28:N28"/>
    <mergeCell ref="C38:N38"/>
    <mergeCell ref="H4:I4"/>
    <mergeCell ref="H5:I5"/>
    <mergeCell ref="K4:L4"/>
    <mergeCell ref="K5:L5"/>
  </mergeCells>
  <phoneticPr fontId="1" type="noConversion"/>
  <hyperlinks>
    <hyperlink ref="B57" r:id="rId1" xr:uid="{10DF4BD4-CEE6-4724-A803-678BDD887E08}"/>
  </hyperlinks>
  <pageMargins left="0.78740157499999996" right="0.78740157499999996" top="0.984251969" bottom="0.984251969" header="0.4921259845" footer="0.4921259845"/>
  <pageSetup paperSize="9" scale="58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B054-4824-4577-8C9F-B264CA3B76E9}">
  <dimension ref="B2:Y182"/>
  <sheetViews>
    <sheetView topLeftCell="A127" zoomScale="75" workbookViewId="0">
      <selection activeCell="AF243" sqref="A127:AF243"/>
    </sheetView>
  </sheetViews>
  <sheetFormatPr baseColWidth="10" defaultRowHeight="12.75" x14ac:dyDescent="0.2"/>
  <cols>
    <col min="1" max="1" width="3.5703125" customWidth="1"/>
    <col min="2" max="2" width="9.7109375" style="7" customWidth="1"/>
    <col min="3" max="3" width="8.140625" customWidth="1"/>
    <col min="4" max="4" width="4.28515625" style="6" customWidth="1"/>
    <col min="5" max="5" width="9.5703125" customWidth="1"/>
    <col min="6" max="6" width="5.42578125" customWidth="1"/>
    <col min="7" max="14" width="10.140625" customWidth="1"/>
    <col min="15" max="15" width="4.7109375" customWidth="1"/>
    <col min="16" max="17" width="7" customWidth="1"/>
    <col min="18" max="24" width="6.42578125" customWidth="1"/>
    <col min="25" max="25" width="13" bestFit="1" customWidth="1"/>
  </cols>
  <sheetData>
    <row r="2" spans="2:24" ht="18" x14ac:dyDescent="0.25">
      <c r="B2" s="18" t="s">
        <v>17</v>
      </c>
      <c r="C2" s="16" t="s">
        <v>6</v>
      </c>
      <c r="D2" s="17" t="s">
        <v>9</v>
      </c>
      <c r="E2" s="41">
        <f>Prognosewerte!F7</f>
        <v>30</v>
      </c>
      <c r="G2" s="39" t="s">
        <v>45</v>
      </c>
    </row>
    <row r="3" spans="2:24" ht="16.5" thickBot="1" x14ac:dyDescent="0.25">
      <c r="B3" s="19" t="s">
        <v>18</v>
      </c>
      <c r="C3" s="16" t="s">
        <v>19</v>
      </c>
      <c r="D3" s="17" t="s">
        <v>9</v>
      </c>
      <c r="E3" s="41">
        <f>Prognosewerte!F10</f>
        <v>26</v>
      </c>
    </row>
    <row r="4" spans="2:24" ht="13.15" customHeight="1" x14ac:dyDescent="0.2">
      <c r="B4" s="18" t="s">
        <v>20</v>
      </c>
      <c r="C4" s="16" t="s">
        <v>8</v>
      </c>
      <c r="D4" s="17" t="s">
        <v>9</v>
      </c>
      <c r="E4" s="42">
        <f>Prognosewerte!F11</f>
        <v>1000</v>
      </c>
      <c r="G4" s="27" t="s">
        <v>36</v>
      </c>
      <c r="H4" s="28">
        <v>15</v>
      </c>
      <c r="I4" s="28">
        <v>20</v>
      </c>
      <c r="J4" s="28">
        <v>25</v>
      </c>
      <c r="K4" s="28">
        <v>30</v>
      </c>
      <c r="L4" s="28">
        <v>35</v>
      </c>
      <c r="M4" s="28">
        <v>40</v>
      </c>
      <c r="N4" s="29">
        <v>45</v>
      </c>
      <c r="P4" s="149" t="s">
        <v>14</v>
      </c>
      <c r="Q4" s="155"/>
      <c r="R4" s="146" t="s">
        <v>11</v>
      </c>
      <c r="S4" s="147"/>
      <c r="T4" s="147"/>
      <c r="U4" s="147"/>
      <c r="V4" s="147"/>
      <c r="W4" s="147"/>
      <c r="X4" s="148"/>
    </row>
    <row r="5" spans="2:24" ht="15.75" x14ac:dyDescent="0.3">
      <c r="B5" s="10" t="s">
        <v>10</v>
      </c>
      <c r="C5" t="s">
        <v>7</v>
      </c>
      <c r="D5" s="6" t="s">
        <v>9</v>
      </c>
      <c r="E5" s="43">
        <f>Prognosewerte!F13</f>
        <v>210</v>
      </c>
      <c r="G5" s="30" t="s">
        <v>37</v>
      </c>
      <c r="H5" s="31">
        <v>100000000</v>
      </c>
      <c r="I5" s="31">
        <v>150000000</v>
      </c>
      <c r="J5" s="31">
        <v>1000000000</v>
      </c>
      <c r="K5" s="31">
        <v>4000000000</v>
      </c>
      <c r="L5" s="31">
        <v>30000000000</v>
      </c>
      <c r="M5" s="31">
        <v>90000000000</v>
      </c>
      <c r="N5" s="32">
        <v>120000000000</v>
      </c>
      <c r="P5" s="156"/>
      <c r="Q5" s="157"/>
      <c r="R5" s="3">
        <v>0</v>
      </c>
      <c r="S5" s="3">
        <v>15</v>
      </c>
      <c r="T5" s="3">
        <v>30</v>
      </c>
      <c r="U5" s="3">
        <v>45</v>
      </c>
      <c r="V5" s="3">
        <v>60</v>
      </c>
      <c r="W5" s="3">
        <v>75</v>
      </c>
      <c r="X5" s="3">
        <v>90</v>
      </c>
    </row>
    <row r="6" spans="2:24" ht="14.25" x14ac:dyDescent="0.25">
      <c r="B6" s="10" t="s">
        <v>11</v>
      </c>
      <c r="C6" t="s">
        <v>7</v>
      </c>
      <c r="D6" s="6" t="s">
        <v>9</v>
      </c>
      <c r="E6" s="43">
        <f>Prognosewerte!F14</f>
        <v>45</v>
      </c>
      <c r="G6" s="30" t="s">
        <v>38</v>
      </c>
      <c r="H6" s="33">
        <v>-10</v>
      </c>
      <c r="I6" s="33">
        <v>0.5</v>
      </c>
      <c r="J6" s="33">
        <v>4</v>
      </c>
      <c r="K6" s="33">
        <v>6</v>
      </c>
      <c r="L6" s="33">
        <v>4.0999999999999996</v>
      </c>
      <c r="M6" s="33">
        <v>0</v>
      </c>
      <c r="N6" s="34">
        <v>0</v>
      </c>
      <c r="P6" s="158"/>
      <c r="Q6" s="159"/>
      <c r="R6" s="3">
        <v>2</v>
      </c>
      <c r="S6" s="3">
        <v>3</v>
      </c>
      <c r="T6" s="3">
        <v>4</v>
      </c>
      <c r="U6" s="3">
        <v>5</v>
      </c>
      <c r="V6" s="3">
        <v>6</v>
      </c>
      <c r="W6" s="3">
        <v>7</v>
      </c>
      <c r="X6" s="3">
        <v>8</v>
      </c>
    </row>
    <row r="7" spans="2:24" ht="15.75" x14ac:dyDescent="0.25">
      <c r="B7" s="19" t="s">
        <v>0</v>
      </c>
      <c r="C7" s="16" t="s">
        <v>7</v>
      </c>
      <c r="D7" s="17" t="s">
        <v>9</v>
      </c>
      <c r="E7" s="41">
        <f>Prognosewerte!F15</f>
        <v>25</v>
      </c>
      <c r="G7" s="30" t="s">
        <v>39</v>
      </c>
      <c r="H7" s="31">
        <v>400000</v>
      </c>
      <c r="I7" s="31">
        <v>700000</v>
      </c>
      <c r="J7" s="31">
        <v>1000000</v>
      </c>
      <c r="K7" s="31">
        <v>3200000</v>
      </c>
      <c r="L7" s="31">
        <v>62000000</v>
      </c>
      <c r="M7" s="31">
        <v>150000000</v>
      </c>
      <c r="N7" s="32">
        <v>500000000</v>
      </c>
      <c r="P7" s="143" t="s">
        <v>12</v>
      </c>
      <c r="Q7" s="3">
        <v>0</v>
      </c>
      <c r="R7" s="1">
        <v>1.01</v>
      </c>
      <c r="S7" s="1">
        <v>1.01</v>
      </c>
      <c r="T7" s="1">
        <v>1.01</v>
      </c>
      <c r="U7" s="1">
        <v>1.08</v>
      </c>
      <c r="V7" s="1">
        <v>1.1399999999999999</v>
      </c>
      <c r="W7" s="4">
        <v>1</v>
      </c>
      <c r="X7" s="1">
        <v>1.01</v>
      </c>
    </row>
    <row r="8" spans="2:24" ht="15.75" x14ac:dyDescent="0.3">
      <c r="B8" s="8" t="s">
        <v>1</v>
      </c>
      <c r="C8" t="s">
        <v>7</v>
      </c>
      <c r="D8" s="6" t="s">
        <v>9</v>
      </c>
      <c r="E8" s="43">
        <f>Prognosewerte!F16</f>
        <v>10</v>
      </c>
      <c r="G8" s="35" t="s">
        <v>40</v>
      </c>
      <c r="H8" s="33">
        <v>3</v>
      </c>
      <c r="I8" s="33">
        <v>1.5</v>
      </c>
      <c r="J8" s="33">
        <v>1</v>
      </c>
      <c r="K8" s="33">
        <v>1</v>
      </c>
      <c r="L8" s="33">
        <v>0.9</v>
      </c>
      <c r="M8" s="33">
        <v>-1.1000000000000001</v>
      </c>
      <c r="N8" s="34">
        <v>-3.5</v>
      </c>
      <c r="P8" s="144"/>
      <c r="Q8" s="3">
        <v>15</v>
      </c>
      <c r="R8" s="1">
        <v>1.01</v>
      </c>
      <c r="S8" s="1">
        <v>1.01</v>
      </c>
      <c r="T8" s="1">
        <v>1.01</v>
      </c>
      <c r="U8" s="1">
        <v>1.0900000000000001</v>
      </c>
      <c r="V8" s="1">
        <v>1.1499999999999999</v>
      </c>
      <c r="W8" s="1">
        <v>1.01</v>
      </c>
      <c r="X8" s="1">
        <v>1.01</v>
      </c>
    </row>
    <row r="9" spans="2:24" ht="15.75" x14ac:dyDescent="0.2">
      <c r="B9" s="18" t="s">
        <v>4</v>
      </c>
      <c r="C9" s="16" t="s">
        <v>8</v>
      </c>
      <c r="D9" s="17" t="s">
        <v>9</v>
      </c>
      <c r="E9" s="41">
        <f>Prognosewerte!F17</f>
        <v>0.3</v>
      </c>
      <c r="G9" s="35" t="s">
        <v>41</v>
      </c>
      <c r="H9" s="31">
        <v>700</v>
      </c>
      <c r="I9" s="31">
        <v>820</v>
      </c>
      <c r="J9" s="31">
        <v>1000</v>
      </c>
      <c r="K9" s="31">
        <v>1200</v>
      </c>
      <c r="L9" s="31">
        <v>1400</v>
      </c>
      <c r="M9" s="31">
        <v>2000</v>
      </c>
      <c r="N9" s="32">
        <v>3000</v>
      </c>
      <c r="P9" s="144"/>
      <c r="Q9" s="3">
        <v>30</v>
      </c>
      <c r="R9" s="1">
        <v>1.01</v>
      </c>
      <c r="S9" s="1">
        <v>1.01</v>
      </c>
      <c r="T9" s="1">
        <v>1.01</v>
      </c>
      <c r="U9" s="1">
        <v>1.1100000000000001</v>
      </c>
      <c r="V9" s="1">
        <v>1.1499999999999999</v>
      </c>
      <c r="W9" s="1">
        <v>1.01</v>
      </c>
      <c r="X9" s="1">
        <v>1.01</v>
      </c>
    </row>
    <row r="10" spans="2:24" ht="15.75" x14ac:dyDescent="0.3">
      <c r="B10" s="9" t="s">
        <v>5</v>
      </c>
      <c r="C10" t="s">
        <v>8</v>
      </c>
      <c r="D10" s="6" t="s">
        <v>9</v>
      </c>
      <c r="E10" s="43">
        <f>Prognosewerte!F18</f>
        <v>0.1</v>
      </c>
      <c r="G10" s="35" t="s">
        <v>42</v>
      </c>
      <c r="H10" s="33">
        <v>2</v>
      </c>
      <c r="I10" s="33">
        <v>3</v>
      </c>
      <c r="J10" s="33">
        <v>3.5</v>
      </c>
      <c r="K10" s="33">
        <v>3.5</v>
      </c>
      <c r="L10" s="33">
        <v>3.4</v>
      </c>
      <c r="M10" s="33">
        <v>3.1</v>
      </c>
      <c r="N10" s="34">
        <v>2.9</v>
      </c>
      <c r="P10" s="144"/>
      <c r="Q10" s="3">
        <v>45</v>
      </c>
      <c r="R10" s="1">
        <v>1.01</v>
      </c>
      <c r="S10" s="1">
        <v>1.02</v>
      </c>
      <c r="T10" s="1">
        <v>1.02</v>
      </c>
      <c r="U10" s="1">
        <v>1.1200000000000001</v>
      </c>
      <c r="V10" s="1">
        <v>1.17</v>
      </c>
      <c r="W10" s="1">
        <v>1.02</v>
      </c>
      <c r="X10" s="1">
        <v>1.01</v>
      </c>
    </row>
    <row r="11" spans="2:24" ht="15.75" x14ac:dyDescent="0.3">
      <c r="B11" s="15" t="s">
        <v>21</v>
      </c>
      <c r="C11" s="16" t="s">
        <v>15</v>
      </c>
      <c r="D11" s="17" t="s">
        <v>9</v>
      </c>
      <c r="E11" s="41">
        <v>1.02</v>
      </c>
      <c r="G11" s="30" t="s">
        <v>43</v>
      </c>
      <c r="H11" s="33">
        <v>5</v>
      </c>
      <c r="I11" s="33">
        <v>7</v>
      </c>
      <c r="J11" s="33">
        <v>10</v>
      </c>
      <c r="K11" s="33">
        <v>20</v>
      </c>
      <c r="L11" s="33">
        <v>30</v>
      </c>
      <c r="M11" s="33">
        <v>100</v>
      </c>
      <c r="N11" s="34">
        <v>240</v>
      </c>
      <c r="P11" s="144"/>
      <c r="Q11" s="3">
        <v>60</v>
      </c>
      <c r="R11" s="1">
        <v>1.01</v>
      </c>
      <c r="S11" s="1">
        <v>1.02</v>
      </c>
      <c r="T11" s="1">
        <v>1.05</v>
      </c>
      <c r="U11" s="1">
        <v>1.1299999999999999</v>
      </c>
      <c r="V11" s="1">
        <v>1.17</v>
      </c>
      <c r="W11" s="1">
        <v>1.02</v>
      </c>
      <c r="X11" s="1">
        <v>1.01</v>
      </c>
    </row>
    <row r="12" spans="2:24" ht="16.5" thickBot="1" x14ac:dyDescent="0.35">
      <c r="B12" s="15" t="s">
        <v>16</v>
      </c>
      <c r="C12" s="16" t="s">
        <v>15</v>
      </c>
      <c r="D12" s="17" t="s">
        <v>9</v>
      </c>
      <c r="E12" s="41">
        <v>1.02</v>
      </c>
      <c r="G12" s="36" t="s">
        <v>44</v>
      </c>
      <c r="H12" s="37">
        <v>-3</v>
      </c>
      <c r="I12" s="37">
        <v>-0.5</v>
      </c>
      <c r="J12" s="37">
        <v>1</v>
      </c>
      <c r="K12" s="37">
        <v>2</v>
      </c>
      <c r="L12" s="37">
        <v>3</v>
      </c>
      <c r="M12" s="37">
        <v>4</v>
      </c>
      <c r="N12" s="38">
        <v>5</v>
      </c>
      <c r="P12" s="144"/>
      <c r="Q12" s="3">
        <v>75</v>
      </c>
      <c r="R12" s="1">
        <v>1.02</v>
      </c>
      <c r="S12" s="1">
        <v>1.03</v>
      </c>
      <c r="T12" s="1">
        <v>1.08</v>
      </c>
      <c r="U12" s="1">
        <v>1.17</v>
      </c>
      <c r="V12" s="5">
        <v>1.2</v>
      </c>
      <c r="W12" s="1">
        <v>1.03</v>
      </c>
      <c r="X12" s="1">
        <v>1.02</v>
      </c>
    </row>
    <row r="13" spans="2:24" ht="7.5" customHeight="1" thickBot="1" x14ac:dyDescent="0.25">
      <c r="B13" s="20"/>
      <c r="C13" s="21"/>
      <c r="D13" s="22"/>
      <c r="E13" s="44"/>
      <c r="G13" s="7"/>
      <c r="I13" s="6"/>
      <c r="P13" s="144"/>
      <c r="Q13" s="3">
        <v>90</v>
      </c>
      <c r="R13" s="1">
        <v>1.02</v>
      </c>
      <c r="S13" s="1">
        <v>1.04</v>
      </c>
      <c r="T13" s="1">
        <v>1.1100000000000001</v>
      </c>
      <c r="U13" s="1">
        <v>1.1399999999999999</v>
      </c>
      <c r="V13" s="1">
        <v>1.19</v>
      </c>
      <c r="W13" s="1">
        <v>1.04</v>
      </c>
      <c r="X13" s="1">
        <v>1.02</v>
      </c>
    </row>
    <row r="14" spans="2:24" ht="15.75" x14ac:dyDescent="0.3">
      <c r="B14" s="23" t="s">
        <v>22</v>
      </c>
      <c r="C14" s="24"/>
      <c r="D14" s="17" t="s">
        <v>9</v>
      </c>
      <c r="E14" s="45">
        <f>0.047*E3-0.228</f>
        <v>0.99399999999999999</v>
      </c>
      <c r="G14" s="7"/>
      <c r="I14" s="6"/>
      <c r="J14" s="2"/>
      <c r="K14" s="14"/>
      <c r="P14" s="144"/>
      <c r="Q14" s="3">
        <v>105</v>
      </c>
      <c r="R14" s="1">
        <v>1.01</v>
      </c>
      <c r="S14" s="1">
        <v>1.03</v>
      </c>
      <c r="T14" s="1">
        <v>1.1100000000000001</v>
      </c>
      <c r="U14" s="1">
        <v>1.1200000000000001</v>
      </c>
      <c r="V14" s="1">
        <v>1.19</v>
      </c>
      <c r="W14" s="1">
        <v>1.03</v>
      </c>
      <c r="X14" s="1">
        <v>1.01</v>
      </c>
    </row>
    <row r="15" spans="2:24" ht="14.25" x14ac:dyDescent="0.25">
      <c r="B15" s="23" t="s">
        <v>23</v>
      </c>
      <c r="C15" s="24"/>
      <c r="D15" s="17" t="s">
        <v>9</v>
      </c>
      <c r="E15" s="46">
        <f>HLOOKUP(E$7,'+'!$H$4:$N$12,2,TRUE)</f>
        <v>1000000000</v>
      </c>
      <c r="P15" s="144"/>
      <c r="Q15" s="3">
        <v>120</v>
      </c>
      <c r="R15" s="1">
        <v>1.01</v>
      </c>
      <c r="S15" s="1">
        <v>1.02</v>
      </c>
      <c r="T15" s="1">
        <v>1.0900000000000001</v>
      </c>
      <c r="U15" s="1">
        <v>1.1000000000000001</v>
      </c>
      <c r="V15" s="1">
        <v>1.19</v>
      </c>
      <c r="W15" s="1">
        <v>1.02</v>
      </c>
      <c r="X15" s="1">
        <v>1.01</v>
      </c>
    </row>
    <row r="16" spans="2:24" ht="15.75" x14ac:dyDescent="0.3">
      <c r="B16" s="23" t="s">
        <v>24</v>
      </c>
      <c r="C16" s="24"/>
      <c r="D16" s="17" t="s">
        <v>9</v>
      </c>
      <c r="E16" s="46">
        <f>HLOOKUP(E$7,'+'!$H$4:$N$12,3,TRUE)</f>
        <v>4</v>
      </c>
      <c r="P16" s="144"/>
      <c r="Q16" s="3">
        <v>135</v>
      </c>
      <c r="R16" s="1">
        <v>1.01</v>
      </c>
      <c r="S16" s="1">
        <v>1.02</v>
      </c>
      <c r="T16" s="1">
        <v>1.07</v>
      </c>
      <c r="U16" s="1">
        <v>1.1000000000000001</v>
      </c>
      <c r="V16" s="1">
        <v>1.18</v>
      </c>
      <c r="W16" s="1">
        <v>1.02</v>
      </c>
      <c r="X16" s="1">
        <v>1.01</v>
      </c>
    </row>
    <row r="17" spans="2:24" ht="14.25" x14ac:dyDescent="0.25">
      <c r="B17" s="23" t="s">
        <v>25</v>
      </c>
      <c r="C17" s="24"/>
      <c r="D17" s="17" t="s">
        <v>9</v>
      </c>
      <c r="E17" s="46">
        <f>HLOOKUP(E$7,'+'!$H$4:$N$12,4,TRUE)</f>
        <v>1000000</v>
      </c>
      <c r="P17" s="144"/>
      <c r="Q17" s="3">
        <v>150</v>
      </c>
      <c r="R17" s="1">
        <v>1.01</v>
      </c>
      <c r="S17" s="1">
        <v>1.01</v>
      </c>
      <c r="T17" s="1">
        <v>1.05</v>
      </c>
      <c r="U17" s="1">
        <v>1.08</v>
      </c>
      <c r="V17" s="1">
        <v>1.17</v>
      </c>
      <c r="W17" s="1">
        <v>1.01</v>
      </c>
      <c r="X17" s="1">
        <v>1.01</v>
      </c>
    </row>
    <row r="18" spans="2:24" ht="15.75" x14ac:dyDescent="0.2">
      <c r="B18" s="18" t="s">
        <v>26</v>
      </c>
      <c r="C18" s="16"/>
      <c r="D18" s="17" t="s">
        <v>9</v>
      </c>
      <c r="E18" s="47">
        <f>HLOOKUP(E$7,'+'!$H$4:$N$12,5,TRUE)</f>
        <v>1</v>
      </c>
      <c r="P18" s="144"/>
      <c r="Q18" s="3">
        <v>165</v>
      </c>
      <c r="R18" s="1">
        <v>1.01</v>
      </c>
      <c r="S18" s="1">
        <v>1.01</v>
      </c>
      <c r="T18" s="1">
        <v>1.03</v>
      </c>
      <c r="U18" s="1">
        <v>1.07</v>
      </c>
      <c r="V18" s="1">
        <v>1.1599999999999999</v>
      </c>
      <c r="W18" s="1">
        <v>1.01</v>
      </c>
      <c r="X18" s="1">
        <v>1.01</v>
      </c>
    </row>
    <row r="19" spans="2:24" ht="14.25" x14ac:dyDescent="0.2">
      <c r="B19" s="18" t="s">
        <v>27</v>
      </c>
      <c r="C19" s="16"/>
      <c r="D19" s="17" t="s">
        <v>9</v>
      </c>
      <c r="E19" s="46">
        <f>HLOOKUP(E$7,'+'!$H$4:$N$12,6,TRUE)</f>
        <v>1000</v>
      </c>
      <c r="P19" s="144"/>
      <c r="Q19" s="3">
        <v>180</v>
      </c>
      <c r="R19" s="1">
        <v>1.01</v>
      </c>
      <c r="S19" s="1">
        <v>1.01</v>
      </c>
      <c r="T19" s="1">
        <v>1.03</v>
      </c>
      <c r="U19" s="1">
        <v>1.06</v>
      </c>
      <c r="V19" s="1">
        <v>1.1499999999999999</v>
      </c>
      <c r="W19" s="1">
        <v>1.01</v>
      </c>
      <c r="X19" s="1">
        <v>1.01</v>
      </c>
    </row>
    <row r="20" spans="2:24" ht="15.75" x14ac:dyDescent="0.2">
      <c r="B20" s="18" t="s">
        <v>28</v>
      </c>
      <c r="C20" s="16"/>
      <c r="D20" s="17" t="s">
        <v>9</v>
      </c>
      <c r="E20" s="47">
        <f>HLOOKUP(E$7,'+'!$H$4:$N$12,7,TRUE)</f>
        <v>3.5</v>
      </c>
      <c r="P20" s="144"/>
      <c r="Q20" s="3">
        <v>195</v>
      </c>
      <c r="R20" s="1">
        <v>1.01</v>
      </c>
      <c r="S20" s="1">
        <v>1.01</v>
      </c>
      <c r="T20" s="1">
        <v>1.03</v>
      </c>
      <c r="U20" s="1">
        <v>1.07</v>
      </c>
      <c r="V20" s="1">
        <v>1.1599999999999999</v>
      </c>
      <c r="W20" s="1">
        <v>1.01</v>
      </c>
      <c r="X20" s="1">
        <v>1.01</v>
      </c>
    </row>
    <row r="21" spans="2:24" ht="14.25" x14ac:dyDescent="0.25">
      <c r="B21" s="23" t="s">
        <v>29</v>
      </c>
      <c r="C21" s="24"/>
      <c r="D21" s="17" t="s">
        <v>9</v>
      </c>
      <c r="E21" s="47">
        <f>HLOOKUP(E$7,'+'!$H$4:$N$12,8,TRUE)</f>
        <v>10</v>
      </c>
      <c r="P21" s="144"/>
      <c r="Q21" s="3">
        <v>210</v>
      </c>
      <c r="R21" s="1">
        <v>1.01</v>
      </c>
      <c r="S21" s="1">
        <v>1.01</v>
      </c>
      <c r="T21" s="1">
        <v>1.05</v>
      </c>
      <c r="U21" s="1">
        <v>1.08</v>
      </c>
      <c r="V21" s="1">
        <v>1.17</v>
      </c>
      <c r="W21" s="1">
        <v>1.01</v>
      </c>
      <c r="X21" s="1">
        <v>1.01</v>
      </c>
    </row>
    <row r="22" spans="2:24" ht="15.75" x14ac:dyDescent="0.3">
      <c r="B22" s="23" t="s">
        <v>30</v>
      </c>
      <c r="C22" s="24"/>
      <c r="D22" s="25" t="s">
        <v>9</v>
      </c>
      <c r="E22" s="47">
        <f>HLOOKUP(E$7,'+'!$H$4:$N$12,9,TRUE)</f>
        <v>1</v>
      </c>
      <c r="P22" s="144"/>
      <c r="Q22" s="3">
        <v>225</v>
      </c>
      <c r="R22" s="1">
        <v>1.01</v>
      </c>
      <c r="S22" s="1">
        <v>1.02</v>
      </c>
      <c r="T22" s="1">
        <v>1.07</v>
      </c>
      <c r="U22" s="1">
        <v>1.1000000000000001</v>
      </c>
      <c r="V22" s="1">
        <v>1.18</v>
      </c>
      <c r="W22" s="1">
        <v>1.02</v>
      </c>
      <c r="X22" s="1">
        <v>1.01</v>
      </c>
    </row>
    <row r="23" spans="2:24" x14ac:dyDescent="0.2">
      <c r="B23" s="23" t="s">
        <v>31</v>
      </c>
      <c r="C23" s="24"/>
      <c r="D23" s="25" t="s">
        <v>9</v>
      </c>
      <c r="E23" s="48">
        <f>E16/(E9*E15)</f>
        <v>1.3333333333333334E-8</v>
      </c>
      <c r="P23" s="144"/>
      <c r="Q23" s="3">
        <v>240</v>
      </c>
      <c r="R23" s="1">
        <v>1.01</v>
      </c>
      <c r="S23" s="1">
        <v>1.02</v>
      </c>
      <c r="T23" s="1">
        <v>1.0900000000000001</v>
      </c>
      <c r="U23" s="1">
        <v>1.1000000000000001</v>
      </c>
      <c r="V23" s="1">
        <v>1.19</v>
      </c>
      <c r="W23" s="1">
        <v>1.02</v>
      </c>
      <c r="X23" s="1">
        <v>1.01</v>
      </c>
    </row>
    <row r="24" spans="2:24" x14ac:dyDescent="0.2">
      <c r="B24" s="23" t="s">
        <v>11</v>
      </c>
      <c r="C24" s="24"/>
      <c r="D24" s="25" t="s">
        <v>9</v>
      </c>
      <c r="E24" s="48">
        <f>-1*(14.5/(E9*E17))*E18</f>
        <v>-4.8333333333333334E-5</v>
      </c>
      <c r="P24" s="144"/>
      <c r="Q24" s="3">
        <v>255</v>
      </c>
      <c r="R24" s="1">
        <v>1.01</v>
      </c>
      <c r="S24" s="1">
        <v>1.03</v>
      </c>
      <c r="T24" s="1">
        <v>1.1100000000000001</v>
      </c>
      <c r="U24" s="1">
        <v>1.1200000000000001</v>
      </c>
      <c r="V24" s="1">
        <v>1.19</v>
      </c>
      <c r="W24" s="1">
        <v>1.03</v>
      </c>
      <c r="X24" s="1">
        <v>1.01</v>
      </c>
    </row>
    <row r="25" spans="2:24" x14ac:dyDescent="0.2">
      <c r="B25" s="23" t="s">
        <v>32</v>
      </c>
      <c r="C25" s="24"/>
      <c r="D25" s="25" t="s">
        <v>9</v>
      </c>
      <c r="E25" s="49">
        <f>-1*((E20/(E9*E19)))-0.018</f>
        <v>-2.9666666666666668E-2</v>
      </c>
      <c r="P25" s="144"/>
      <c r="Q25" s="3">
        <v>270</v>
      </c>
      <c r="R25" s="1">
        <v>1.02</v>
      </c>
      <c r="S25" s="1">
        <v>1.04</v>
      </c>
      <c r="T25" s="1">
        <v>1.1100000000000001</v>
      </c>
      <c r="U25" s="1">
        <v>1.1399999999999999</v>
      </c>
      <c r="V25" s="1">
        <v>1.19</v>
      </c>
      <c r="W25" s="1">
        <v>1.04</v>
      </c>
      <c r="X25" s="1">
        <v>1.02</v>
      </c>
    </row>
    <row r="26" spans="2:24" ht="13.5" thickBot="1" x14ac:dyDescent="0.25">
      <c r="B26" s="20" t="s">
        <v>33</v>
      </c>
      <c r="C26" s="21"/>
      <c r="D26" s="22" t="s">
        <v>9</v>
      </c>
      <c r="E26" s="50">
        <f>(E22/(E9*E21))-0.2</f>
        <v>0.1333333333333333</v>
      </c>
      <c r="P26" s="144"/>
      <c r="Q26" s="3">
        <v>285</v>
      </c>
      <c r="R26" s="1">
        <v>1.02</v>
      </c>
      <c r="S26" s="1">
        <v>1.03</v>
      </c>
      <c r="T26" s="1">
        <v>1.08</v>
      </c>
      <c r="U26" s="1">
        <v>1.17</v>
      </c>
      <c r="V26" s="5">
        <v>1.2</v>
      </c>
      <c r="W26" s="1">
        <v>1.03</v>
      </c>
      <c r="X26" s="1">
        <v>1.02</v>
      </c>
    </row>
    <row r="27" spans="2:24" ht="15.75" x14ac:dyDescent="0.3">
      <c r="B27" s="7" t="s">
        <v>47</v>
      </c>
      <c r="D27" s="6" t="s">
        <v>9</v>
      </c>
      <c r="E27" s="40">
        <f>0.00000000090861*E2*E2*E2-0.0000021465*E2*E2+0.00236931*E2+0.928457</f>
        <v>0.99762898246999998</v>
      </c>
      <c r="P27" s="144"/>
      <c r="Q27" s="3">
        <v>300</v>
      </c>
      <c r="R27" s="1">
        <v>1.01</v>
      </c>
      <c r="S27" s="1">
        <v>1.02</v>
      </c>
      <c r="T27" s="1">
        <v>1.05</v>
      </c>
      <c r="U27" s="1">
        <v>1.1299999999999999</v>
      </c>
      <c r="V27" s="1">
        <v>1.17</v>
      </c>
      <c r="W27" s="1">
        <v>1.02</v>
      </c>
      <c r="X27" s="1">
        <v>1.01</v>
      </c>
    </row>
    <row r="28" spans="2:24" ht="15.75" x14ac:dyDescent="0.3">
      <c r="B28" s="7" t="s">
        <v>50</v>
      </c>
      <c r="D28" s="6" t="s">
        <v>9</v>
      </c>
      <c r="E28" s="43">
        <f>-0.005*E8+1.1</f>
        <v>1.05</v>
      </c>
      <c r="P28" s="144"/>
      <c r="Q28" s="3">
        <v>315</v>
      </c>
      <c r="R28" s="1">
        <v>1.01</v>
      </c>
      <c r="S28" s="1">
        <v>1.02</v>
      </c>
      <c r="T28" s="1">
        <v>1.02</v>
      </c>
      <c r="U28" s="1">
        <v>1.1200000000000001</v>
      </c>
      <c r="V28" s="1">
        <v>1.17</v>
      </c>
      <c r="W28" s="1">
        <v>1.02</v>
      </c>
      <c r="X28" s="1">
        <v>1.01</v>
      </c>
    </row>
    <row r="29" spans="2:24" ht="15.75" x14ac:dyDescent="0.3">
      <c r="B29" s="7" t="s">
        <v>51</v>
      </c>
      <c r="D29" s="6" t="s">
        <v>9</v>
      </c>
      <c r="E29" s="43">
        <f>IF(E8&gt;30,0,-0.005*E8+0.1625)</f>
        <v>0.1125</v>
      </c>
      <c r="P29" s="144"/>
      <c r="Q29" s="3">
        <v>330</v>
      </c>
      <c r="R29" s="1">
        <v>1.01</v>
      </c>
      <c r="S29" s="1">
        <v>1.01</v>
      </c>
      <c r="T29" s="1">
        <v>1.01</v>
      </c>
      <c r="U29" s="1">
        <v>1.1100000000000001</v>
      </c>
      <c r="V29" s="1">
        <v>1.1499999999999999</v>
      </c>
      <c r="W29" s="1">
        <v>1.01</v>
      </c>
      <c r="X29" s="1">
        <v>1.01</v>
      </c>
    </row>
    <row r="30" spans="2:24" ht="15.75" x14ac:dyDescent="0.3">
      <c r="B30" s="7" t="s">
        <v>48</v>
      </c>
      <c r="D30" s="6" t="s">
        <v>9</v>
      </c>
      <c r="E30" s="40">
        <f>0.0027*E7+0.9333</f>
        <v>1.0007999999999999</v>
      </c>
      <c r="P30" s="144"/>
      <c r="Q30" s="3">
        <v>345</v>
      </c>
      <c r="R30" s="1">
        <v>1.01</v>
      </c>
      <c r="S30" s="1">
        <v>1.01</v>
      </c>
      <c r="T30" s="1">
        <v>1.01</v>
      </c>
      <c r="U30" s="1">
        <v>1.0900000000000001</v>
      </c>
      <c r="V30" s="1">
        <v>1.1499999999999999</v>
      </c>
      <c r="W30" s="1">
        <v>1.01</v>
      </c>
      <c r="X30" s="1">
        <v>1.01</v>
      </c>
    </row>
    <row r="31" spans="2:24" ht="14.25" x14ac:dyDescent="0.25">
      <c r="B31" s="7" t="s">
        <v>49</v>
      </c>
      <c r="D31" s="6" t="s">
        <v>9</v>
      </c>
      <c r="E31" s="40">
        <f>1/(POWER(E10,E29))*E28*E30</f>
        <v>1.3615594092187846</v>
      </c>
      <c r="P31" s="145"/>
      <c r="Q31" s="3">
        <v>360</v>
      </c>
      <c r="R31" s="1">
        <v>1.01</v>
      </c>
      <c r="S31" s="1">
        <v>1.01</v>
      </c>
      <c r="T31" s="1">
        <v>1.01</v>
      </c>
      <c r="U31" s="1">
        <v>1.08</v>
      </c>
      <c r="V31" s="1">
        <v>1.1399999999999999</v>
      </c>
      <c r="W31" s="4">
        <v>1</v>
      </c>
      <c r="X31" s="1">
        <v>1.01</v>
      </c>
    </row>
    <row r="32" spans="2:24" ht="15.75" x14ac:dyDescent="0.3">
      <c r="B32" s="7" t="s">
        <v>2</v>
      </c>
      <c r="D32" s="6" t="s">
        <v>9</v>
      </c>
      <c r="E32" s="40">
        <f>E27*E31*E12*0.93</f>
        <v>1.288512908012633</v>
      </c>
    </row>
    <row r="33" spans="2:15" ht="15.75" x14ac:dyDescent="0.3">
      <c r="B33" s="7" t="s">
        <v>3</v>
      </c>
      <c r="D33" s="6" t="s">
        <v>9</v>
      </c>
      <c r="E33" s="40">
        <f>VLOOKUP(E5,'+'!$Q$7:$X$31,HLOOKUP(E6,'+'!$R$5:$X$6,2,FALSE),FALSE)</f>
        <v>1.08</v>
      </c>
    </row>
    <row r="34" spans="2:15" ht="16.5" thickBot="1" x14ac:dyDescent="0.35">
      <c r="B34" s="11" t="s">
        <v>13</v>
      </c>
      <c r="C34" s="12"/>
      <c r="D34" s="13" t="s">
        <v>9</v>
      </c>
      <c r="E34" s="51">
        <f>1+((E33-1)/0.2)*(E32-1)</f>
        <v>1.1154051632050532</v>
      </c>
    </row>
    <row r="35" spans="2:15" x14ac:dyDescent="0.2">
      <c r="E35" s="43"/>
    </row>
    <row r="36" spans="2:15" ht="15.75" x14ac:dyDescent="0.3">
      <c r="B36" s="26" t="s">
        <v>34</v>
      </c>
      <c r="C36" s="16" t="s">
        <v>35</v>
      </c>
      <c r="D36" s="25" t="s">
        <v>9</v>
      </c>
      <c r="E36" s="52">
        <f>-E14*((1000/E4)*(((E23*E2*E2*E2)+(E24*E2*E2)+(E25*E2)))+E26)*E11</f>
        <v>0.81090798320000002</v>
      </c>
    </row>
    <row r="37" spans="2:15" ht="15.75" x14ac:dyDescent="0.3">
      <c r="B37" s="26" t="s">
        <v>46</v>
      </c>
      <c r="C37" s="16" t="s">
        <v>35</v>
      </c>
      <c r="D37" s="25" t="s">
        <v>9</v>
      </c>
      <c r="E37" s="52">
        <f>E36*E34</f>
        <v>0.90449095134547663</v>
      </c>
    </row>
    <row r="40" spans="2:15" ht="15.75" x14ac:dyDescent="0.3">
      <c r="B40" s="7" t="s">
        <v>52</v>
      </c>
      <c r="C40" s="53" t="s">
        <v>6</v>
      </c>
      <c r="D40" s="54" t="s">
        <v>9</v>
      </c>
      <c r="E40" s="53">
        <f>Prognosewerte!F7</f>
        <v>30</v>
      </c>
      <c r="F40" s="55"/>
      <c r="G40" s="149" t="s">
        <v>76</v>
      </c>
      <c r="H40" s="150"/>
      <c r="I40" s="146" t="s">
        <v>11</v>
      </c>
      <c r="J40" s="147"/>
      <c r="K40" s="147"/>
      <c r="L40" s="147"/>
      <c r="M40" s="147"/>
      <c r="N40" s="147"/>
      <c r="O40" s="148"/>
    </row>
    <row r="41" spans="2:15" ht="15.75" x14ac:dyDescent="0.2">
      <c r="B41" s="56" t="s">
        <v>53</v>
      </c>
      <c r="C41" s="53" t="s">
        <v>54</v>
      </c>
      <c r="D41" s="54" t="s">
        <v>9</v>
      </c>
      <c r="E41" s="53">
        <f>Prognosewerte!F9</f>
        <v>30</v>
      </c>
      <c r="F41" s="55"/>
      <c r="G41" s="151"/>
      <c r="H41" s="152"/>
      <c r="I41" s="3">
        <v>0</v>
      </c>
      <c r="J41" s="3">
        <v>15</v>
      </c>
      <c r="K41" s="3">
        <v>30</v>
      </c>
      <c r="L41" s="3">
        <v>45</v>
      </c>
      <c r="M41" s="3">
        <v>60</v>
      </c>
      <c r="N41" s="3">
        <v>75</v>
      </c>
      <c r="O41" s="3">
        <v>90</v>
      </c>
    </row>
    <row r="42" spans="2:15" ht="15.75" x14ac:dyDescent="0.2">
      <c r="B42" s="57" t="s">
        <v>18</v>
      </c>
      <c r="C42" s="53" t="s">
        <v>19</v>
      </c>
      <c r="D42" s="54" t="s">
        <v>9</v>
      </c>
      <c r="E42" s="53">
        <f>Prognosewerte!F10</f>
        <v>26</v>
      </c>
      <c r="F42" s="55"/>
      <c r="G42" s="153"/>
      <c r="H42" s="154"/>
      <c r="I42" s="3">
        <v>2</v>
      </c>
      <c r="J42" s="3">
        <v>3</v>
      </c>
      <c r="K42" s="3">
        <v>4</v>
      </c>
      <c r="L42" s="3">
        <v>5</v>
      </c>
      <c r="M42" s="3">
        <v>6</v>
      </c>
      <c r="N42" s="3">
        <v>7</v>
      </c>
      <c r="O42" s="3">
        <v>8</v>
      </c>
    </row>
    <row r="43" spans="2:15" ht="15.75" x14ac:dyDescent="0.2">
      <c r="B43" s="56" t="s">
        <v>20</v>
      </c>
      <c r="C43" s="53" t="s">
        <v>8</v>
      </c>
      <c r="D43" s="54" t="s">
        <v>9</v>
      </c>
      <c r="E43" s="58">
        <f>Prognosewerte!F11</f>
        <v>1000</v>
      </c>
      <c r="F43" s="55"/>
      <c r="G43" s="143" t="s">
        <v>12</v>
      </c>
      <c r="H43" s="3">
        <v>0</v>
      </c>
      <c r="I43" s="1">
        <v>1.2161426380368097</v>
      </c>
      <c r="J43" s="1">
        <v>1.4244631901840497</v>
      </c>
      <c r="K43" s="1">
        <v>1.4502300613496937</v>
      </c>
      <c r="L43" s="1">
        <v>1.1703604294478525</v>
      </c>
      <c r="M43" s="1">
        <v>1.1992331288343556</v>
      </c>
      <c r="N43" s="4">
        <v>1</v>
      </c>
      <c r="O43" s="1">
        <v>1.2246549079754607</v>
      </c>
    </row>
    <row r="44" spans="2:15" ht="15.75" x14ac:dyDescent="0.3">
      <c r="B44" s="10" t="s">
        <v>10</v>
      </c>
      <c r="C44" t="s">
        <v>7</v>
      </c>
      <c r="D44" s="6" t="s">
        <v>9</v>
      </c>
      <c r="E44">
        <f>Prognosewerte!F13</f>
        <v>210</v>
      </c>
      <c r="F44" s="55"/>
      <c r="G44" s="144"/>
      <c r="H44" s="3">
        <v>15</v>
      </c>
      <c r="I44" s="1">
        <v>1.2161426380368097</v>
      </c>
      <c r="J44" s="1">
        <v>1.4118098159509209</v>
      </c>
      <c r="K44" s="1">
        <v>1.4455138036809818</v>
      </c>
      <c r="L44" s="1">
        <v>1.2325920245398774</v>
      </c>
      <c r="M44" s="1">
        <v>1.2382285276073624</v>
      </c>
      <c r="N44" s="1">
        <v>1.020705521472393</v>
      </c>
      <c r="O44" s="1">
        <v>1.0774156441717797</v>
      </c>
    </row>
    <row r="45" spans="2:15" x14ac:dyDescent="0.2">
      <c r="B45" s="10" t="s">
        <v>11</v>
      </c>
      <c r="C45" t="s">
        <v>7</v>
      </c>
      <c r="D45" s="6" t="s">
        <v>9</v>
      </c>
      <c r="E45">
        <f>Prognosewerte!F14</f>
        <v>45</v>
      </c>
      <c r="F45" s="55"/>
      <c r="G45" s="144"/>
      <c r="H45" s="3">
        <v>30</v>
      </c>
      <c r="I45" s="1">
        <v>1.21</v>
      </c>
      <c r="J45" s="1">
        <v>1.398926380368098</v>
      </c>
      <c r="K45" s="1">
        <v>1.4421779141104292</v>
      </c>
      <c r="L45" s="1">
        <v>1.3777607361963193</v>
      </c>
      <c r="M45" s="1">
        <v>1.3054064417177922</v>
      </c>
      <c r="N45" s="1">
        <v>1.0725843558282211</v>
      </c>
      <c r="O45" s="1">
        <v>1.01</v>
      </c>
    </row>
    <row r="46" spans="2:15" ht="15.75" x14ac:dyDescent="0.2">
      <c r="B46" s="57" t="s">
        <v>0</v>
      </c>
      <c r="C46" s="53" t="s">
        <v>7</v>
      </c>
      <c r="D46" s="54" t="s">
        <v>9</v>
      </c>
      <c r="E46" s="53">
        <f>Prognosewerte!F15</f>
        <v>25</v>
      </c>
      <c r="F46" s="55"/>
      <c r="G46" s="144"/>
      <c r="H46" s="3">
        <v>45</v>
      </c>
      <c r="I46" s="1">
        <v>1.18</v>
      </c>
      <c r="J46" s="1">
        <v>1.3816717791411048</v>
      </c>
      <c r="K46" s="1">
        <v>1.4589723926380365</v>
      </c>
      <c r="L46" s="1">
        <v>1.5694018404907972</v>
      </c>
      <c r="M46" s="1">
        <v>1.4418328220858898</v>
      </c>
      <c r="N46" s="1">
        <v>1.1251533742331286</v>
      </c>
      <c r="O46" s="1">
        <v>1.01</v>
      </c>
    </row>
    <row r="47" spans="2:15" ht="15.75" x14ac:dyDescent="0.3">
      <c r="B47" s="8" t="s">
        <v>1</v>
      </c>
      <c r="C47" t="s">
        <v>7</v>
      </c>
      <c r="D47" s="6" t="s">
        <v>9</v>
      </c>
      <c r="E47">
        <f>Prognosewerte!F16</f>
        <v>10</v>
      </c>
      <c r="F47" s="55"/>
      <c r="G47" s="144"/>
      <c r="H47" s="3">
        <v>60</v>
      </c>
      <c r="I47" s="1">
        <v>1.19</v>
      </c>
      <c r="J47" s="1">
        <v>1.3638420245398772</v>
      </c>
      <c r="K47" s="1">
        <v>1.5353527607361963</v>
      </c>
      <c r="L47" s="1">
        <v>1.7123849693251538</v>
      </c>
      <c r="M47" s="1">
        <v>1.6478527607361966</v>
      </c>
      <c r="N47" s="1">
        <v>1.1824386503067488</v>
      </c>
      <c r="O47" s="1">
        <v>1.0409509202453993</v>
      </c>
    </row>
    <row r="48" spans="2:15" ht="15.75" x14ac:dyDescent="0.2">
      <c r="B48" s="56" t="s">
        <v>4</v>
      </c>
      <c r="C48" s="53" t="s">
        <v>8</v>
      </c>
      <c r="D48" s="54" t="s">
        <v>9</v>
      </c>
      <c r="E48" s="53">
        <f>Prognosewerte!F17</f>
        <v>0.3</v>
      </c>
      <c r="F48" s="55"/>
      <c r="G48" s="144"/>
      <c r="H48" s="3">
        <v>75</v>
      </c>
      <c r="I48" s="1">
        <v>1.2161426380368097</v>
      </c>
      <c r="J48" s="1">
        <v>1.3632668711656444</v>
      </c>
      <c r="K48" s="1">
        <v>1.5764187116564425</v>
      </c>
      <c r="L48" s="1">
        <v>1.7145705521472396</v>
      </c>
      <c r="M48" s="5">
        <v>1.75</v>
      </c>
      <c r="N48" s="1">
        <v>1.2128067484662575</v>
      </c>
      <c r="O48" s="1">
        <v>1.0888036809815957</v>
      </c>
    </row>
    <row r="49" spans="2:15" ht="15.75" x14ac:dyDescent="0.3">
      <c r="B49" s="9" t="s">
        <v>5</v>
      </c>
      <c r="C49" t="s">
        <v>8</v>
      </c>
      <c r="D49" s="6" t="s">
        <v>9</v>
      </c>
      <c r="E49">
        <f>Prognosewerte!F18</f>
        <v>0.1</v>
      </c>
      <c r="F49" s="55"/>
      <c r="G49" s="144"/>
      <c r="H49" s="3">
        <v>90</v>
      </c>
      <c r="I49" s="1">
        <v>1.2161426380368097</v>
      </c>
      <c r="J49" s="1">
        <v>1.2572085889570555</v>
      </c>
      <c r="K49" s="1">
        <v>1.3878834355828227</v>
      </c>
      <c r="L49" s="1">
        <v>1.5338573619631903</v>
      </c>
      <c r="M49" s="1">
        <v>1.709394171779141</v>
      </c>
      <c r="N49" s="1">
        <v>1.2297162576687124</v>
      </c>
      <c r="O49" s="1">
        <v>1.1100000000000001</v>
      </c>
    </row>
    <row r="50" spans="2:15" ht="15.75" x14ac:dyDescent="0.3">
      <c r="B50" s="10" t="s">
        <v>55</v>
      </c>
      <c r="C50" s="53" t="s">
        <v>15</v>
      </c>
      <c r="D50" s="54" t="s">
        <v>9</v>
      </c>
      <c r="E50" s="53">
        <v>1.06</v>
      </c>
      <c r="F50" s="55"/>
      <c r="G50" s="144"/>
      <c r="H50" s="3">
        <v>105</v>
      </c>
      <c r="I50" s="1">
        <v>1.18</v>
      </c>
      <c r="J50" s="1">
        <v>1.0853527607361966</v>
      </c>
      <c r="K50" s="1">
        <v>1.1794478527607366</v>
      </c>
      <c r="L50" s="1">
        <v>1.3929447852760735</v>
      </c>
      <c r="M50" s="1">
        <v>1.6195552147239265</v>
      </c>
      <c r="N50" s="1">
        <v>1.32</v>
      </c>
      <c r="O50" s="1">
        <v>1.22</v>
      </c>
    </row>
    <row r="51" spans="2:15" ht="15.75" x14ac:dyDescent="0.3">
      <c r="B51" s="15" t="s">
        <v>56</v>
      </c>
      <c r="C51" s="16" t="s">
        <v>15</v>
      </c>
      <c r="D51" s="17" t="s">
        <v>9</v>
      </c>
      <c r="E51" s="59">
        <v>1.04</v>
      </c>
      <c r="F51" s="55"/>
      <c r="G51" s="144"/>
      <c r="H51" s="3">
        <v>120</v>
      </c>
      <c r="I51" s="1">
        <v>1.19</v>
      </c>
      <c r="J51" s="1">
        <v>1.03</v>
      </c>
      <c r="K51" s="1">
        <v>1.1778374233128837</v>
      </c>
      <c r="L51" s="1">
        <v>1.3797162576687119</v>
      </c>
      <c r="M51" s="1">
        <v>1.5166027607361967</v>
      </c>
      <c r="N51" s="1">
        <v>1.1348159509202458</v>
      </c>
      <c r="O51" s="1">
        <v>1.1200000000000001</v>
      </c>
    </row>
    <row r="52" spans="2:15" ht="13.5" thickBot="1" x14ac:dyDescent="0.25">
      <c r="B52" s="11"/>
      <c r="C52" s="12"/>
      <c r="D52" s="13"/>
      <c r="E52" s="12"/>
      <c r="F52" s="55"/>
      <c r="G52" s="144"/>
      <c r="H52" s="3">
        <v>135</v>
      </c>
      <c r="I52" s="1">
        <v>1.1599999999999999</v>
      </c>
      <c r="J52" s="1">
        <v>1.01</v>
      </c>
      <c r="K52" s="1">
        <v>1.2178680981595087</v>
      </c>
      <c r="L52" s="1">
        <v>1.3907592024539881</v>
      </c>
      <c r="M52" s="1">
        <v>1.4298696319018409</v>
      </c>
      <c r="N52" s="1">
        <v>1.134355828220859</v>
      </c>
      <c r="O52" s="1">
        <v>1.011042944785276</v>
      </c>
    </row>
    <row r="53" spans="2:15" ht="15.75" x14ac:dyDescent="0.3">
      <c r="B53" s="7" t="s">
        <v>57</v>
      </c>
      <c r="D53" s="54" t="s">
        <v>9</v>
      </c>
      <c r="E53">
        <f>0.04794*E42-0.253</f>
        <v>0.99343999999999999</v>
      </c>
      <c r="F53" s="55"/>
      <c r="G53" s="144"/>
      <c r="H53" s="3">
        <v>150</v>
      </c>
      <c r="I53" s="1">
        <v>1.2</v>
      </c>
      <c r="J53" s="1">
        <v>1.0164493865030673</v>
      </c>
      <c r="K53" s="1">
        <v>1.2555981595092023</v>
      </c>
      <c r="L53" s="1">
        <v>1.3773006134969321</v>
      </c>
      <c r="M53" s="1">
        <v>1.3816717791411048</v>
      </c>
      <c r="N53" s="1">
        <v>1.2080904907975465</v>
      </c>
      <c r="O53" s="1">
        <v>1.0164493865030673</v>
      </c>
    </row>
    <row r="54" spans="2:15" ht="15.75" x14ac:dyDescent="0.3">
      <c r="B54" s="7" t="s">
        <v>58</v>
      </c>
      <c r="D54" s="54" t="s">
        <v>9</v>
      </c>
      <c r="E54">
        <f>0.007114*E41+0.717</f>
        <v>0.93042000000000002</v>
      </c>
      <c r="F54" s="55"/>
      <c r="G54" s="144"/>
      <c r="H54" s="3">
        <v>165</v>
      </c>
      <c r="I54" s="1">
        <v>1.2161426380368097</v>
      </c>
      <c r="J54" s="1">
        <v>1.0524539877300616</v>
      </c>
      <c r="K54" s="1">
        <v>1.2216641104294479</v>
      </c>
      <c r="L54" s="1">
        <v>1.22519171779141</v>
      </c>
      <c r="M54" s="1">
        <v>1.05</v>
      </c>
      <c r="N54" s="1">
        <v>1.31</v>
      </c>
      <c r="O54" s="1">
        <v>1.0997315950920252</v>
      </c>
    </row>
    <row r="55" spans="2:15" ht="14.25" x14ac:dyDescent="0.2">
      <c r="B55" s="56" t="s">
        <v>65</v>
      </c>
      <c r="C55" s="53"/>
      <c r="D55" s="54" t="s">
        <v>9</v>
      </c>
      <c r="E55" s="60">
        <f>0.0026*E46+0.182</f>
        <v>0.247</v>
      </c>
      <c r="F55" s="55"/>
      <c r="G55" s="144"/>
      <c r="H55" s="3">
        <v>180</v>
      </c>
      <c r="I55" s="1">
        <v>1.2161426380368097</v>
      </c>
      <c r="J55" s="1">
        <v>1.0576303680981596</v>
      </c>
      <c r="K55" s="1">
        <v>1.2021088957055217</v>
      </c>
      <c r="L55" s="1">
        <v>1.2848159509202453</v>
      </c>
      <c r="M55" s="1">
        <v>1.1599999999999999</v>
      </c>
      <c r="N55" s="1">
        <v>1.2</v>
      </c>
      <c r="O55" s="1">
        <v>1.2260352760736204</v>
      </c>
    </row>
    <row r="56" spans="2:15" ht="14.25" x14ac:dyDescent="0.2">
      <c r="B56" s="56" t="s">
        <v>66</v>
      </c>
      <c r="C56" s="53"/>
      <c r="D56" s="54" t="s">
        <v>9</v>
      </c>
      <c r="E56" s="60">
        <f>187.4757*POWER(E46,-1.648)</f>
        <v>0.93140775492710659</v>
      </c>
      <c r="F56" s="55"/>
      <c r="G56" s="144"/>
      <c r="H56" s="3">
        <v>195</v>
      </c>
      <c r="I56" s="1">
        <v>1.2161426380368097</v>
      </c>
      <c r="J56" s="1">
        <v>1.0524539877300616</v>
      </c>
      <c r="K56" s="1">
        <v>1.2216641104294479</v>
      </c>
      <c r="L56" s="1">
        <v>1.22519171779141</v>
      </c>
      <c r="M56" s="1">
        <v>1.05</v>
      </c>
      <c r="N56" s="1">
        <v>1.31</v>
      </c>
      <c r="O56" s="1">
        <v>1.0997315950920252</v>
      </c>
    </row>
    <row r="57" spans="2:15" ht="15.75" x14ac:dyDescent="0.2">
      <c r="B57" s="56" t="s">
        <v>67</v>
      </c>
      <c r="C57" s="53"/>
      <c r="D57" s="54" t="s">
        <v>9</v>
      </c>
      <c r="E57" s="60">
        <f>E55*E48+E56</f>
        <v>1.0055077549271065</v>
      </c>
      <c r="F57" s="55"/>
      <c r="G57" s="144"/>
      <c r="H57" s="3">
        <v>210</v>
      </c>
      <c r="I57" s="1">
        <v>1.2</v>
      </c>
      <c r="J57" s="1">
        <v>1.0164493865030673</v>
      </c>
      <c r="K57" s="1">
        <v>1.2555981595092023</v>
      </c>
      <c r="L57" s="1">
        <v>1.3773006134969321</v>
      </c>
      <c r="M57" s="1">
        <v>1.3816717791411048</v>
      </c>
      <c r="N57" s="1">
        <v>1.2080904907975465</v>
      </c>
      <c r="O57" s="1">
        <v>1.0164493865030673</v>
      </c>
    </row>
    <row r="58" spans="2:15" ht="15.75" x14ac:dyDescent="0.3">
      <c r="B58" s="7" t="s">
        <v>10</v>
      </c>
      <c r="D58" s="6" t="s">
        <v>9</v>
      </c>
      <c r="E58" s="60">
        <f>1/((1/E48)*0.085+0.9)</f>
        <v>0.84507042253521125</v>
      </c>
      <c r="F58" s="61"/>
      <c r="G58" s="144"/>
      <c r="H58" s="3">
        <v>225</v>
      </c>
      <c r="I58" s="1">
        <v>1.1599999999999999</v>
      </c>
      <c r="J58" s="1">
        <v>1.01</v>
      </c>
      <c r="K58" s="1">
        <v>1.2178680981595087</v>
      </c>
      <c r="L58" s="1">
        <v>1.3907592024539881</v>
      </c>
      <c r="M58" s="1">
        <v>1.4298696319018409</v>
      </c>
      <c r="N58" s="1">
        <v>1.134355828220859</v>
      </c>
      <c r="O58" s="1">
        <v>1.011042944785276</v>
      </c>
    </row>
    <row r="59" spans="2:15" ht="15.75" x14ac:dyDescent="0.3">
      <c r="B59" s="7" t="s">
        <v>59</v>
      </c>
      <c r="D59" s="6" t="s">
        <v>9</v>
      </c>
      <c r="E59" s="60">
        <f>1/(0.7252*E48*E48+0.7802*E48+0.44)</f>
        <v>1.3525796398891967</v>
      </c>
      <c r="F59" s="55"/>
      <c r="G59" s="144"/>
      <c r="H59" s="3">
        <v>240</v>
      </c>
      <c r="I59" s="1">
        <v>1.19</v>
      </c>
      <c r="J59" s="1">
        <v>1.03</v>
      </c>
      <c r="K59" s="1">
        <v>1.1778374233128837</v>
      </c>
      <c r="L59" s="1">
        <v>1.3797162576687119</v>
      </c>
      <c r="M59" s="1">
        <v>1.5166027607361967</v>
      </c>
      <c r="N59" s="1">
        <v>1.1348159509202458</v>
      </c>
      <c r="O59" s="1">
        <v>1.1200000000000001</v>
      </c>
    </row>
    <row r="60" spans="2:15" ht="15.75" x14ac:dyDescent="0.3">
      <c r="B60" s="7" t="s">
        <v>60</v>
      </c>
      <c r="D60" s="6" t="s">
        <v>9</v>
      </c>
      <c r="E60" s="60">
        <f>1/(2.6752*E48*E48+5.6832*E48+1.1407)</f>
        <v>0.32399913427431326</v>
      </c>
      <c r="F60" s="55"/>
      <c r="G60" s="144"/>
      <c r="H60" s="3">
        <v>255</v>
      </c>
      <c r="I60" s="1">
        <v>1.18</v>
      </c>
      <c r="J60" s="1">
        <v>1.0853527607361966</v>
      </c>
      <c r="K60" s="1">
        <v>1.1794478527607366</v>
      </c>
      <c r="L60" s="1">
        <v>1.3929447852760735</v>
      </c>
      <c r="M60" s="1">
        <v>1.6195552147239265</v>
      </c>
      <c r="N60" s="1">
        <v>1.32</v>
      </c>
      <c r="O60" s="1">
        <v>1.22</v>
      </c>
    </row>
    <row r="61" spans="2:15" ht="15.75" x14ac:dyDescent="0.3">
      <c r="B61" s="10" t="s">
        <v>10</v>
      </c>
      <c r="D61" s="6" t="s">
        <v>9</v>
      </c>
      <c r="E61" s="62">
        <f>-0.00095/((1000/E43)*0.19+0.9)</f>
        <v>-8.7155963302752292E-4</v>
      </c>
      <c r="F61" s="61"/>
      <c r="G61" s="144"/>
      <c r="H61" s="3">
        <v>270</v>
      </c>
      <c r="I61" s="1">
        <v>1.2161426380368097</v>
      </c>
      <c r="J61" s="1">
        <v>1.2572085889570555</v>
      </c>
      <c r="K61" s="1">
        <v>1.3878834355828227</v>
      </c>
      <c r="L61" s="1">
        <v>1.5338573619631903</v>
      </c>
      <c r="M61" s="1">
        <v>1.709394171779141</v>
      </c>
      <c r="N61" s="1">
        <v>1.2297162576687124</v>
      </c>
      <c r="O61" s="1">
        <v>1.1100000000000001</v>
      </c>
    </row>
    <row r="62" spans="2:15" ht="15.75" x14ac:dyDescent="0.3">
      <c r="B62" s="10" t="s">
        <v>59</v>
      </c>
      <c r="D62" s="6" t="s">
        <v>9</v>
      </c>
      <c r="E62" s="62">
        <f>-2.23613/(-0.0246*(E43/1000)*(E43/1000)+0.7102*(E43/1000)+0.3151)</f>
        <v>-2.2345658039372438</v>
      </c>
      <c r="F62" s="61"/>
      <c r="G62" s="144"/>
      <c r="H62" s="3">
        <v>285</v>
      </c>
      <c r="I62" s="1">
        <v>1.2161426380368097</v>
      </c>
      <c r="J62" s="1">
        <v>1.3632668711656444</v>
      </c>
      <c r="K62" s="1">
        <v>1.5764187116564425</v>
      </c>
      <c r="L62" s="1">
        <v>1.7145705521472396</v>
      </c>
      <c r="M62" s="5">
        <v>1.75</v>
      </c>
      <c r="N62" s="1">
        <v>1.2128067484662575</v>
      </c>
      <c r="O62" s="1">
        <v>1.0888036809815957</v>
      </c>
    </row>
    <row r="63" spans="2:15" ht="15.75" x14ac:dyDescent="0.3">
      <c r="B63" s="10" t="s">
        <v>60</v>
      </c>
      <c r="D63" s="6" t="s">
        <v>9</v>
      </c>
      <c r="E63" s="62">
        <f>57.91231/(0.0961*(E43/1000)*(E43/1000)+0.489*(E43/1000)+0.56)</f>
        <v>50.574019736267573</v>
      </c>
      <c r="F63" s="55"/>
      <c r="G63" s="144"/>
      <c r="H63" s="3">
        <v>300</v>
      </c>
      <c r="I63" s="1">
        <v>1.19</v>
      </c>
      <c r="J63" s="1">
        <v>1.3638420245398772</v>
      </c>
      <c r="K63" s="1">
        <v>1.5353527607361963</v>
      </c>
      <c r="L63" s="1">
        <v>1.7123849693251538</v>
      </c>
      <c r="M63" s="1">
        <v>1.6478527607361966</v>
      </c>
      <c r="N63" s="1">
        <v>1.1824386503067488</v>
      </c>
      <c r="O63" s="1">
        <v>1.0409509202453993</v>
      </c>
    </row>
    <row r="64" spans="2:15" ht="16.5" thickBot="1" x14ac:dyDescent="0.35">
      <c r="B64" s="63" t="s">
        <v>61</v>
      </c>
      <c r="C64" s="12"/>
      <c r="D64" s="13" t="s">
        <v>9</v>
      </c>
      <c r="E64" s="64">
        <f>(E61*E40*E40*E58+E62*E40*E59+E63*E60)*E57</f>
        <v>-75.362589083572942</v>
      </c>
      <c r="F64" s="55"/>
      <c r="G64" s="144"/>
      <c r="H64" s="3">
        <v>315</v>
      </c>
      <c r="I64" s="1">
        <v>1.18</v>
      </c>
      <c r="J64" s="1">
        <v>1.3816717791411048</v>
      </c>
      <c r="K64" s="1">
        <v>1.4589723926380365</v>
      </c>
      <c r="L64" s="1">
        <v>1.5694018404907972</v>
      </c>
      <c r="M64" s="1">
        <v>1.4418328220858898</v>
      </c>
      <c r="N64" s="1">
        <v>1.1251533742331286</v>
      </c>
      <c r="O64" s="1">
        <v>1.01</v>
      </c>
    </row>
    <row r="65" spans="2:25" ht="15.75" x14ac:dyDescent="0.3">
      <c r="B65" s="7" t="s">
        <v>68</v>
      </c>
      <c r="D65" s="6" t="s">
        <v>9</v>
      </c>
      <c r="E65" s="2">
        <f>0.305084*LN(E40)-0.0405228</f>
        <v>0.99712810198701707</v>
      </c>
      <c r="F65" s="14"/>
      <c r="G65" s="144"/>
      <c r="H65" s="3">
        <v>330</v>
      </c>
      <c r="I65" s="1">
        <v>1.21</v>
      </c>
      <c r="J65" s="1">
        <v>1.398926380368098</v>
      </c>
      <c r="K65" s="1">
        <v>1.4421779141104292</v>
      </c>
      <c r="L65" s="1">
        <v>1.3777607361963193</v>
      </c>
      <c r="M65" s="1">
        <v>1.3054064417177922</v>
      </c>
      <c r="N65" s="1">
        <v>1.0725843558282211</v>
      </c>
      <c r="O65" s="1">
        <v>1.01</v>
      </c>
    </row>
    <row r="66" spans="2:25" ht="15.75" x14ac:dyDescent="0.3">
      <c r="B66" s="7" t="s">
        <v>69</v>
      </c>
      <c r="D66" s="6" t="s">
        <v>9</v>
      </c>
      <c r="E66">
        <f>-0.04*E47+2</f>
        <v>1.6</v>
      </c>
      <c r="F66" s="55"/>
      <c r="G66" s="144"/>
      <c r="H66" s="3">
        <v>345</v>
      </c>
      <c r="I66" s="1">
        <v>1.2161426380368097</v>
      </c>
      <c r="J66" s="1">
        <v>1.4118098159509209</v>
      </c>
      <c r="K66" s="1">
        <v>1.4455138036809818</v>
      </c>
      <c r="L66" s="1">
        <v>1.2325920245398774</v>
      </c>
      <c r="M66" s="1">
        <v>1.2382285276073624</v>
      </c>
      <c r="N66" s="1">
        <v>1.020705521472393</v>
      </c>
      <c r="O66" s="1">
        <v>1.0774156441717797</v>
      </c>
    </row>
    <row r="67" spans="2:25" ht="15.75" x14ac:dyDescent="0.3">
      <c r="B67" s="10" t="s">
        <v>62</v>
      </c>
      <c r="D67" s="6" t="s">
        <v>9</v>
      </c>
      <c r="E67">
        <f>IF(E47&gt;30,0,-0.004*E47+0.21)</f>
        <v>0.16999999999999998</v>
      </c>
      <c r="F67" s="55"/>
      <c r="G67" s="145"/>
      <c r="H67" s="3">
        <v>360</v>
      </c>
      <c r="I67" s="1">
        <v>1.2161426380368097</v>
      </c>
      <c r="J67" s="1">
        <v>1.4244631901840497</v>
      </c>
      <c r="K67" s="1">
        <v>1.4502300613496937</v>
      </c>
      <c r="L67" s="1">
        <v>1.1703604294478525</v>
      </c>
      <c r="M67" s="1">
        <v>1.1992331288343556</v>
      </c>
      <c r="N67" s="4">
        <v>1</v>
      </c>
      <c r="O67" s="1">
        <v>1.2246549079754607</v>
      </c>
    </row>
    <row r="68" spans="2:25" ht="15.75" x14ac:dyDescent="0.3">
      <c r="B68" s="7" t="s">
        <v>70</v>
      </c>
      <c r="D68" s="6" t="s">
        <v>9</v>
      </c>
      <c r="E68" s="2">
        <f>1.9725-(24.295/E46)</f>
        <v>1.0006999999999997</v>
      </c>
      <c r="F68" s="55"/>
    </row>
    <row r="69" spans="2:25" ht="15.75" x14ac:dyDescent="0.3">
      <c r="B69" s="7" t="s">
        <v>71</v>
      </c>
      <c r="D69" s="6" t="s">
        <v>9</v>
      </c>
      <c r="E69" s="2">
        <f>1/(POWER(E49,E67))*E66*E68</f>
        <v>2.3682300224638797</v>
      </c>
      <c r="F69" s="55"/>
    </row>
    <row r="70" spans="2:25" ht="15.75" x14ac:dyDescent="0.3">
      <c r="B70" s="7" t="s">
        <v>72</v>
      </c>
      <c r="D70" s="6" t="s">
        <v>9</v>
      </c>
      <c r="E70" s="2">
        <f>E65*E69*E51*0.835</f>
        <v>2.0506646894784404</v>
      </c>
      <c r="F70" s="55"/>
    </row>
    <row r="71" spans="2:25" ht="15.75" x14ac:dyDescent="0.3">
      <c r="B71" s="7" t="s">
        <v>73</v>
      </c>
      <c r="D71" s="6" t="s">
        <v>9</v>
      </c>
      <c r="E71" s="2">
        <f>VLOOKUP(E44,'+'!$H$43:$O$67,HLOOKUP(E45,'+'!$I$41:$O$42,2,FALSE),FALSE)</f>
        <v>1.3773006134969321</v>
      </c>
      <c r="F71" s="55"/>
    </row>
    <row r="72" spans="2:25" ht="16.5" thickBot="1" x14ac:dyDescent="0.35">
      <c r="B72" s="11" t="s">
        <v>74</v>
      </c>
      <c r="C72" s="12"/>
      <c r="D72" s="13" t="s">
        <v>9</v>
      </c>
      <c r="E72" s="65">
        <f>1+((E71-1)/0.75)*(E70-1)</f>
        <v>1.5285552425597055</v>
      </c>
      <c r="F72" s="55"/>
    </row>
    <row r="73" spans="2:25" x14ac:dyDescent="0.2">
      <c r="F73" s="55"/>
    </row>
    <row r="74" spans="2:25" ht="15.75" x14ac:dyDescent="0.3">
      <c r="B74" s="10" t="s">
        <v>63</v>
      </c>
      <c r="C74" s="53" t="s">
        <v>75</v>
      </c>
      <c r="D74" s="6" t="s">
        <v>9</v>
      </c>
      <c r="E74" s="66">
        <f>E53*E54*E64*E50</f>
        <v>-73.838413237410521</v>
      </c>
      <c r="F74" s="55"/>
    </row>
    <row r="75" spans="2:25" ht="15.75" x14ac:dyDescent="0.3">
      <c r="B75" s="10" t="s">
        <v>64</v>
      </c>
      <c r="C75" s="53" t="s">
        <v>75</v>
      </c>
      <c r="D75" s="6" t="s">
        <v>9</v>
      </c>
      <c r="E75" s="66">
        <f>E74*E72</f>
        <v>-112.86609365633382</v>
      </c>
      <c r="F75" s="55"/>
    </row>
    <row r="78" spans="2:25" ht="15.75" x14ac:dyDescent="0.3">
      <c r="B78" s="7" t="s">
        <v>52</v>
      </c>
      <c r="C78" s="53" t="s">
        <v>6</v>
      </c>
      <c r="D78" s="54" t="s">
        <v>9</v>
      </c>
      <c r="E78" s="53">
        <f>Prognosewerte!F7</f>
        <v>30</v>
      </c>
      <c r="F78" s="55"/>
      <c r="G78" s="149" t="s">
        <v>108</v>
      </c>
      <c r="H78" s="150"/>
      <c r="I78" s="146" t="s">
        <v>11</v>
      </c>
      <c r="J78" s="147"/>
      <c r="K78" s="147"/>
      <c r="L78" s="147"/>
      <c r="M78" s="147"/>
      <c r="N78" s="147"/>
      <c r="O78" s="148"/>
      <c r="Q78" s="149" t="s">
        <v>109</v>
      </c>
      <c r="R78" s="150"/>
      <c r="S78" s="146" t="s">
        <v>11</v>
      </c>
      <c r="T78" s="147"/>
      <c r="U78" s="147"/>
      <c r="V78" s="147"/>
      <c r="W78" s="147"/>
      <c r="X78" s="147"/>
      <c r="Y78" s="148"/>
    </row>
    <row r="79" spans="2:25" ht="15.75" x14ac:dyDescent="0.3">
      <c r="B79" s="7" t="s">
        <v>77</v>
      </c>
      <c r="C79" s="53" t="s">
        <v>6</v>
      </c>
      <c r="D79" s="54" t="s">
        <v>9</v>
      </c>
      <c r="E79" s="53">
        <f>Prognosewerte!F8</f>
        <v>11</v>
      </c>
      <c r="F79" s="55"/>
      <c r="G79" s="151"/>
      <c r="H79" s="152"/>
      <c r="I79" s="3">
        <v>0</v>
      </c>
      <c r="J79" s="3">
        <v>15</v>
      </c>
      <c r="K79" s="3">
        <v>30</v>
      </c>
      <c r="L79" s="3">
        <v>45</v>
      </c>
      <c r="M79" s="3">
        <v>60</v>
      </c>
      <c r="N79" s="3">
        <v>75</v>
      </c>
      <c r="O79" s="3">
        <v>90</v>
      </c>
      <c r="Q79" s="151"/>
      <c r="R79" s="152"/>
      <c r="S79" s="3">
        <v>0</v>
      </c>
      <c r="T79" s="3">
        <v>15</v>
      </c>
      <c r="U79" s="3">
        <v>30</v>
      </c>
      <c r="V79" s="3">
        <v>45</v>
      </c>
      <c r="W79" s="3">
        <v>60</v>
      </c>
      <c r="X79" s="3">
        <v>75</v>
      </c>
      <c r="Y79" s="3">
        <v>90</v>
      </c>
    </row>
    <row r="80" spans="2:25" ht="15.75" x14ac:dyDescent="0.2">
      <c r="B80" s="56" t="s">
        <v>78</v>
      </c>
      <c r="C80" s="53" t="s">
        <v>6</v>
      </c>
      <c r="D80" s="54" t="s">
        <v>9</v>
      </c>
      <c r="E80" s="53">
        <f>E78+E79/2</f>
        <v>35.5</v>
      </c>
      <c r="F80" s="55"/>
      <c r="G80" s="153"/>
      <c r="H80" s="154"/>
      <c r="I80" s="3">
        <v>2</v>
      </c>
      <c r="J80" s="3">
        <v>3</v>
      </c>
      <c r="K80" s="3">
        <v>4</v>
      </c>
      <c r="L80" s="3">
        <v>5</v>
      </c>
      <c r="M80" s="3">
        <v>6</v>
      </c>
      <c r="N80" s="3">
        <v>7</v>
      </c>
      <c r="O80" s="3">
        <v>8</v>
      </c>
      <c r="Q80" s="153"/>
      <c r="R80" s="154"/>
      <c r="S80" s="3">
        <v>2</v>
      </c>
      <c r="T80" s="3">
        <v>3</v>
      </c>
      <c r="U80" s="3">
        <v>4</v>
      </c>
      <c r="V80" s="3">
        <v>5</v>
      </c>
      <c r="W80" s="3">
        <v>6</v>
      </c>
      <c r="X80" s="3">
        <v>7</v>
      </c>
      <c r="Y80" s="3">
        <v>8</v>
      </c>
    </row>
    <row r="81" spans="2:25" ht="15.75" x14ac:dyDescent="0.2">
      <c r="B81" s="56" t="s">
        <v>53</v>
      </c>
      <c r="C81" s="53" t="s">
        <v>54</v>
      </c>
      <c r="D81" s="54" t="s">
        <v>9</v>
      </c>
      <c r="E81" s="53">
        <f>Prognosewerte!F9</f>
        <v>30</v>
      </c>
      <c r="F81" s="55"/>
      <c r="G81" s="143" t="s">
        <v>12</v>
      </c>
      <c r="H81" s="3">
        <v>0</v>
      </c>
      <c r="I81" s="1">
        <v>1.02723339822626</v>
      </c>
      <c r="J81" s="1">
        <v>1.0294397577330738</v>
      </c>
      <c r="K81" s="1">
        <v>1.0312134977287475</v>
      </c>
      <c r="L81" s="1">
        <v>1.02</v>
      </c>
      <c r="M81" s="1">
        <v>1.0207224745836037</v>
      </c>
      <c r="N81" s="4">
        <v>1.0015407568736392</v>
      </c>
      <c r="O81" s="1">
        <v>1.0226043694570626</v>
      </c>
      <c r="Q81" s="143" t="s">
        <v>12</v>
      </c>
      <c r="R81" s="3">
        <v>0</v>
      </c>
      <c r="S81" s="1">
        <v>1.02723339822626</v>
      </c>
      <c r="T81" s="1">
        <v>1.0294397577330738</v>
      </c>
      <c r="U81" s="1">
        <v>1.0312134977287475</v>
      </c>
      <c r="V81" s="1">
        <v>1.02</v>
      </c>
      <c r="W81" s="1">
        <v>1.0207224745836037</v>
      </c>
      <c r="X81" s="4">
        <v>1.0015407568736392</v>
      </c>
      <c r="Y81" s="1">
        <v>1.0226043694570626</v>
      </c>
    </row>
    <row r="82" spans="2:25" ht="15.75" x14ac:dyDescent="0.2">
      <c r="B82" s="57" t="s">
        <v>18</v>
      </c>
      <c r="C82" s="53" t="s">
        <v>19</v>
      </c>
      <c r="D82" s="54" t="s">
        <v>9</v>
      </c>
      <c r="E82" s="53">
        <f>Prognosewerte!F10</f>
        <v>26</v>
      </c>
      <c r="F82" s="55"/>
      <c r="G82" s="144"/>
      <c r="H82" s="3">
        <v>15</v>
      </c>
      <c r="I82" s="1">
        <v>1.02723339822626</v>
      </c>
      <c r="J82" s="1">
        <v>1.0277525416396278</v>
      </c>
      <c r="K82" s="1">
        <v>1.0290720311486048</v>
      </c>
      <c r="L82" s="1">
        <v>1.02</v>
      </c>
      <c r="M82" s="1">
        <v>1.0288557213930347</v>
      </c>
      <c r="N82" s="1">
        <v>1.0268224096906771</v>
      </c>
      <c r="O82" s="1">
        <v>1.0236210253082414</v>
      </c>
      <c r="Q82" s="144"/>
      <c r="R82" s="3">
        <v>15</v>
      </c>
      <c r="S82" s="1">
        <v>1.02723339822626</v>
      </c>
      <c r="T82" s="1">
        <v>1.0277525416396278</v>
      </c>
      <c r="U82" s="1">
        <v>1.0290720311486048</v>
      </c>
      <c r="V82" s="1">
        <v>1.02</v>
      </c>
      <c r="W82" s="1">
        <v>1.02</v>
      </c>
      <c r="X82" s="1">
        <v>1.02</v>
      </c>
      <c r="Y82" s="1">
        <v>1.02</v>
      </c>
    </row>
    <row r="83" spans="2:25" ht="15.75" x14ac:dyDescent="0.2">
      <c r="B83" s="56" t="s">
        <v>20</v>
      </c>
      <c r="C83" s="53" t="s">
        <v>8</v>
      </c>
      <c r="D83" s="54" t="s">
        <v>9</v>
      </c>
      <c r="E83" s="58">
        <f>Prognosewerte!F11</f>
        <v>1000</v>
      </c>
      <c r="F83" s="55"/>
      <c r="G83" s="144"/>
      <c r="H83" s="3">
        <v>30</v>
      </c>
      <c r="I83" s="1">
        <v>1.02723339822626</v>
      </c>
      <c r="J83" s="1">
        <v>1.0263032662773091</v>
      </c>
      <c r="K83" s="1">
        <v>1.0239671209171533</v>
      </c>
      <c r="L83" s="1">
        <v>1.0186242699545749</v>
      </c>
      <c r="M83" s="1">
        <v>1.0354964308890331</v>
      </c>
      <c r="N83" s="1">
        <v>1.0338308457711443</v>
      </c>
      <c r="O83" s="1">
        <v>1.0260653255461822</v>
      </c>
      <c r="Q83" s="144"/>
      <c r="R83" s="3">
        <v>30</v>
      </c>
      <c r="S83" s="1">
        <v>1.02723339822626</v>
      </c>
      <c r="T83" s="1">
        <v>1.0277525416396278</v>
      </c>
      <c r="U83" s="1">
        <v>1.01</v>
      </c>
      <c r="V83" s="1">
        <v>1.02</v>
      </c>
      <c r="W83" s="1">
        <v>1.0290720311486048</v>
      </c>
      <c r="X83" s="1">
        <v>1.02</v>
      </c>
      <c r="Y83" s="1">
        <v>1.02</v>
      </c>
    </row>
    <row r="84" spans="2:25" x14ac:dyDescent="0.2">
      <c r="B84" s="57" t="s">
        <v>79</v>
      </c>
      <c r="C84" s="53" t="s">
        <v>15</v>
      </c>
      <c r="D84" s="54" t="s">
        <v>9</v>
      </c>
      <c r="E84" s="67">
        <f>Prognosewerte!F12</f>
        <v>0.2</v>
      </c>
      <c r="F84" s="55"/>
      <c r="G84" s="144"/>
      <c r="H84" s="3">
        <v>45</v>
      </c>
      <c r="I84" s="1">
        <v>1.02723339822626</v>
      </c>
      <c r="J84" s="1">
        <v>1.0246593121349772</v>
      </c>
      <c r="K84" s="1">
        <v>1.0205494267791477</v>
      </c>
      <c r="L84" s="1">
        <v>1.0301968418775687</v>
      </c>
      <c r="M84" s="1">
        <v>1.0470906337875838</v>
      </c>
      <c r="N84" s="1">
        <v>1.0494700410988536</v>
      </c>
      <c r="O84" s="1">
        <v>1.0349123945489942</v>
      </c>
      <c r="Q84" s="144"/>
      <c r="R84" s="3">
        <v>45</v>
      </c>
      <c r="S84" s="1">
        <v>1.02723339822626</v>
      </c>
      <c r="T84" s="1">
        <v>1.0246593121349772</v>
      </c>
      <c r="U84" s="1">
        <v>1.01</v>
      </c>
      <c r="V84" s="1">
        <v>1.02</v>
      </c>
      <c r="W84" s="1">
        <v>1.0354964308890331</v>
      </c>
      <c r="X84" s="1">
        <v>1.0354964308890331</v>
      </c>
      <c r="Y84" s="1">
        <v>1.0349123945489942</v>
      </c>
    </row>
    <row r="85" spans="2:25" ht="15.75" x14ac:dyDescent="0.3">
      <c r="B85" s="10" t="s">
        <v>10</v>
      </c>
      <c r="C85" t="s">
        <v>7</v>
      </c>
      <c r="D85" s="6" t="s">
        <v>9</v>
      </c>
      <c r="E85">
        <f>Prognosewerte!F13</f>
        <v>210</v>
      </c>
      <c r="F85" s="55"/>
      <c r="G85" s="144"/>
      <c r="H85" s="3">
        <v>60</v>
      </c>
      <c r="I85" s="1">
        <v>1.02723339822626</v>
      </c>
      <c r="J85" s="1">
        <v>1.0242050616482803</v>
      </c>
      <c r="K85" s="1">
        <v>1.0214362967769846</v>
      </c>
      <c r="L85" s="1">
        <v>1.0384166125892278</v>
      </c>
      <c r="M85" s="1">
        <v>1.05</v>
      </c>
      <c r="N85" s="1">
        <v>1.0635085442353451</v>
      </c>
      <c r="O85" s="1">
        <v>1.0414233181916503</v>
      </c>
      <c r="Q85" s="144"/>
      <c r="R85" s="3">
        <v>60</v>
      </c>
      <c r="S85" s="1">
        <v>1.02723339822626</v>
      </c>
      <c r="T85" s="1">
        <v>1.0242050616482803</v>
      </c>
      <c r="U85" s="1">
        <v>1.0214362967769846</v>
      </c>
      <c r="V85" s="1">
        <v>1.0277525416396278</v>
      </c>
      <c r="W85" s="1">
        <v>1.0354964308890331</v>
      </c>
      <c r="X85" s="1">
        <v>1.0635085442353451</v>
      </c>
      <c r="Y85" s="1">
        <v>1.0414233181916503</v>
      </c>
    </row>
    <row r="86" spans="2:25" x14ac:dyDescent="0.2">
      <c r="B86" s="10" t="s">
        <v>11</v>
      </c>
      <c r="C86" t="s">
        <v>7</v>
      </c>
      <c r="D86" s="6" t="s">
        <v>9</v>
      </c>
      <c r="E86">
        <f>Prognosewerte!F14</f>
        <v>45</v>
      </c>
      <c r="F86" s="55"/>
      <c r="G86" s="144"/>
      <c r="H86" s="3">
        <v>75</v>
      </c>
      <c r="I86" s="1">
        <v>1.02723339822626</v>
      </c>
      <c r="J86" s="1">
        <v>1.0280337443218688</v>
      </c>
      <c r="K86" s="1">
        <v>1.0257408609128271</v>
      </c>
      <c r="L86" s="1">
        <v>1.0384166125892278</v>
      </c>
      <c r="M86" s="72">
        <v>1.05</v>
      </c>
      <c r="N86" s="1">
        <v>1.0690460739779364</v>
      </c>
      <c r="O86" s="1">
        <v>1.0409906986805104</v>
      </c>
      <c r="Q86" s="144"/>
      <c r="R86" s="3">
        <v>75</v>
      </c>
      <c r="S86" s="1">
        <v>1.02723339822626</v>
      </c>
      <c r="T86" s="1">
        <v>1.02723339822626</v>
      </c>
      <c r="U86" s="1">
        <v>1.02723339822626</v>
      </c>
      <c r="V86" s="1">
        <v>1.0354964308890331</v>
      </c>
      <c r="W86" s="1">
        <v>1.0470906337875838</v>
      </c>
      <c r="X86" s="1">
        <v>1.0635085442353451</v>
      </c>
      <c r="Y86" s="1">
        <v>1.0409906986805104</v>
      </c>
    </row>
    <row r="87" spans="2:25" ht="15.75" x14ac:dyDescent="0.2">
      <c r="B87" s="57" t="s">
        <v>0</v>
      </c>
      <c r="C87" s="53" t="s">
        <v>7</v>
      </c>
      <c r="D87" s="54" t="s">
        <v>9</v>
      </c>
      <c r="E87" s="53">
        <f>Prognosewerte!F15</f>
        <v>25</v>
      </c>
      <c r="F87" s="55"/>
      <c r="G87" s="144"/>
      <c r="H87" s="3">
        <v>90</v>
      </c>
      <c r="I87" s="1">
        <v>1.02723339822626</v>
      </c>
      <c r="J87" s="1">
        <v>1.0281635301752108</v>
      </c>
      <c r="K87" s="1">
        <v>1.0206359506813756</v>
      </c>
      <c r="L87" s="1">
        <v>1.0754488427428077</v>
      </c>
      <c r="M87" s="1">
        <v>1.1127190136275145</v>
      </c>
      <c r="N87" s="1">
        <v>1.0790828466363833</v>
      </c>
      <c r="O87" s="1">
        <v>1.06</v>
      </c>
      <c r="Q87" s="144"/>
      <c r="R87" s="3">
        <v>90</v>
      </c>
      <c r="S87" s="1">
        <v>1.02723339822626</v>
      </c>
      <c r="T87" s="1">
        <v>1.02723339822626</v>
      </c>
      <c r="U87" s="1">
        <v>1.02723339822626</v>
      </c>
      <c r="V87" s="1">
        <v>1.0690460739779364</v>
      </c>
      <c r="W87" s="1">
        <v>1.0900000000000001</v>
      </c>
      <c r="X87" s="1">
        <v>1.0690460739779364</v>
      </c>
      <c r="Y87" s="1">
        <v>1.07</v>
      </c>
    </row>
    <row r="88" spans="2:25" ht="15.75" x14ac:dyDescent="0.3">
      <c r="B88" s="8" t="s">
        <v>1</v>
      </c>
      <c r="C88" t="s">
        <v>7</v>
      </c>
      <c r="D88" s="6" t="s">
        <v>9</v>
      </c>
      <c r="E88">
        <f>Prognosewerte!F16</f>
        <v>10</v>
      </c>
      <c r="F88" s="55"/>
      <c r="G88" s="144"/>
      <c r="H88" s="3">
        <v>105</v>
      </c>
      <c r="I88" s="1">
        <v>1.02723339822626</v>
      </c>
      <c r="J88" s="1">
        <v>1.0307159852909367</v>
      </c>
      <c r="K88" s="1">
        <v>1.010144927536232</v>
      </c>
      <c r="L88" s="1">
        <v>1.0932943975773308</v>
      </c>
      <c r="M88" s="1">
        <v>1.1248107289638762</v>
      </c>
      <c r="N88" s="1">
        <v>1.1499999999999999</v>
      </c>
      <c r="O88" s="5">
        <v>1.18</v>
      </c>
      <c r="Q88" s="144"/>
      <c r="R88" s="3">
        <v>105</v>
      </c>
      <c r="S88" s="1">
        <v>1.02723339822626</v>
      </c>
      <c r="T88" s="1">
        <v>1.0307159852909367</v>
      </c>
      <c r="U88" s="1">
        <v>1.010144927536232</v>
      </c>
      <c r="V88" s="1">
        <v>1.08</v>
      </c>
      <c r="W88" s="1">
        <v>1.1100000000000001</v>
      </c>
      <c r="X88" s="1">
        <v>1.1299999999999999</v>
      </c>
      <c r="Y88" s="73">
        <v>1.17</v>
      </c>
    </row>
    <row r="89" spans="2:25" ht="15.75" x14ac:dyDescent="0.2">
      <c r="B89" s="56" t="s">
        <v>4</v>
      </c>
      <c r="C89" s="53" t="s">
        <v>8</v>
      </c>
      <c r="D89" s="54" t="s">
        <v>9</v>
      </c>
      <c r="E89" s="53">
        <f>Prognosewerte!F17</f>
        <v>0.3</v>
      </c>
      <c r="F89" s="55"/>
      <c r="G89" s="144"/>
      <c r="H89" s="3">
        <v>120</v>
      </c>
      <c r="I89" s="1">
        <v>1.02723339822626</v>
      </c>
      <c r="J89" s="1">
        <v>1.0313216526065325</v>
      </c>
      <c r="K89" s="1">
        <v>1.0127190136275146</v>
      </c>
      <c r="L89" s="1">
        <v>1.0484750162232317</v>
      </c>
      <c r="M89" s="1">
        <v>1.1133463119186675</v>
      </c>
      <c r="N89" s="1">
        <v>1.0585334198572356</v>
      </c>
      <c r="O89" s="1">
        <v>1.0414665801427645</v>
      </c>
      <c r="Q89" s="144"/>
      <c r="R89" s="3">
        <v>120</v>
      </c>
      <c r="S89" s="1">
        <v>1.02723339822626</v>
      </c>
      <c r="T89" s="1">
        <v>1.0307159852909367</v>
      </c>
      <c r="U89" s="1">
        <v>1.0245727882327493</v>
      </c>
      <c r="V89" s="1">
        <v>1.0635085442353451</v>
      </c>
      <c r="W89" s="1">
        <v>1.08</v>
      </c>
      <c r="X89" s="1">
        <v>1.1100000000000001</v>
      </c>
      <c r="Y89" s="1">
        <v>1.08</v>
      </c>
    </row>
    <row r="90" spans="2:25" ht="15.75" x14ac:dyDescent="0.3">
      <c r="B90" s="9" t="s">
        <v>5</v>
      </c>
      <c r="C90" t="s">
        <v>8</v>
      </c>
      <c r="D90" s="6" t="s">
        <v>9</v>
      </c>
      <c r="E90">
        <f>Prognosewerte!F18</f>
        <v>0.1</v>
      </c>
      <c r="F90" s="55"/>
      <c r="G90" s="144"/>
      <c r="H90" s="3">
        <v>135</v>
      </c>
      <c r="I90" s="1">
        <v>1.02723339822626</v>
      </c>
      <c r="J90" s="1">
        <v>1.0325546182132814</v>
      </c>
      <c r="K90" s="1">
        <v>1.0138221933809215</v>
      </c>
      <c r="L90" s="1">
        <v>1.0333333333333332</v>
      </c>
      <c r="M90" s="1">
        <v>1.1000000000000001</v>
      </c>
      <c r="N90" s="1">
        <v>1.05</v>
      </c>
      <c r="O90" s="1">
        <v>1.0311486048020766</v>
      </c>
      <c r="Q90" s="144"/>
      <c r="R90" s="3">
        <v>135</v>
      </c>
      <c r="S90" s="1">
        <v>1.02723339822626</v>
      </c>
      <c r="T90" s="1">
        <v>1.0245727882327493</v>
      </c>
      <c r="U90" s="1">
        <v>1.027125243348475</v>
      </c>
      <c r="V90" s="1">
        <v>1.0484750162232317</v>
      </c>
      <c r="W90" s="1">
        <v>1.0690460739779364</v>
      </c>
      <c r="X90" s="1">
        <v>1.08</v>
      </c>
      <c r="Y90" s="1">
        <v>1.0409906986805104</v>
      </c>
    </row>
    <row r="91" spans="2:25" ht="15.75" x14ac:dyDescent="0.3">
      <c r="B91" s="10" t="s">
        <v>80</v>
      </c>
      <c r="C91" s="53" t="s">
        <v>15</v>
      </c>
      <c r="D91" s="54" t="s">
        <v>9</v>
      </c>
      <c r="E91" s="53">
        <v>1.04</v>
      </c>
      <c r="F91" s="55"/>
      <c r="G91" s="144"/>
      <c r="H91" s="3">
        <v>150</v>
      </c>
      <c r="I91" s="1">
        <v>1.027125243348475</v>
      </c>
      <c r="J91" s="1">
        <v>1.0262383733506382</v>
      </c>
      <c r="K91" s="1">
        <v>1.0245727882327493</v>
      </c>
      <c r="L91" s="1">
        <v>1.0262383733506382</v>
      </c>
      <c r="M91" s="1">
        <v>1.1000000000000001</v>
      </c>
      <c r="N91" s="1">
        <v>1.0368159203980098</v>
      </c>
      <c r="O91" s="1">
        <v>1.0262383733506382</v>
      </c>
      <c r="Q91" s="144"/>
      <c r="R91" s="3">
        <v>150</v>
      </c>
      <c r="S91" s="1">
        <v>1.027125243348475</v>
      </c>
      <c r="T91" s="1">
        <v>1.0245727882327493</v>
      </c>
      <c r="U91" s="1">
        <v>1.027125243348475</v>
      </c>
      <c r="V91" s="1">
        <v>1.0354964308890331</v>
      </c>
      <c r="W91" s="1">
        <v>1.0690460739779364</v>
      </c>
      <c r="X91" s="1">
        <v>1.0585334198572356</v>
      </c>
      <c r="Y91" s="1">
        <v>1.0311486048020766</v>
      </c>
    </row>
    <row r="92" spans="2:25" ht="16.5" thickBot="1" x14ac:dyDescent="0.35">
      <c r="B92" s="15" t="s">
        <v>81</v>
      </c>
      <c r="C92" s="16" t="s">
        <v>15</v>
      </c>
      <c r="D92" s="17" t="s">
        <v>9</v>
      </c>
      <c r="E92" s="59">
        <v>1.03</v>
      </c>
      <c r="F92" s="55"/>
      <c r="G92" s="144"/>
      <c r="H92" s="3">
        <v>165</v>
      </c>
      <c r="I92" s="74">
        <v>1.027125243348475</v>
      </c>
      <c r="J92" s="74">
        <v>1.0337875838200303</v>
      </c>
      <c r="K92" s="74">
        <v>1.0262383733506382</v>
      </c>
      <c r="L92" s="74">
        <v>1.0262383733506382</v>
      </c>
      <c r="M92" s="75">
        <v>1.0900000000000001</v>
      </c>
      <c r="N92" s="74">
        <v>1.0288989833441489</v>
      </c>
      <c r="O92" s="74">
        <v>1.0226043694570626</v>
      </c>
      <c r="Q92" s="144"/>
      <c r="R92" s="3">
        <v>165</v>
      </c>
      <c r="S92" s="74">
        <v>1.027125243348475</v>
      </c>
      <c r="T92" s="74">
        <v>1.0307159852909367</v>
      </c>
      <c r="U92" s="74">
        <v>1.027125243348475</v>
      </c>
      <c r="V92" s="74">
        <v>1.027125243348475</v>
      </c>
      <c r="W92" s="74">
        <v>1.0690460739779364</v>
      </c>
      <c r="X92" s="74">
        <v>1.0311486048020766</v>
      </c>
      <c r="Y92" s="74">
        <v>1.0226043694570626</v>
      </c>
    </row>
    <row r="93" spans="2:25" ht="13.5" thickBot="1" x14ac:dyDescent="0.25">
      <c r="B93" s="11"/>
      <c r="C93" s="12"/>
      <c r="D93" s="13"/>
      <c r="E93" s="12"/>
      <c r="F93" s="55"/>
      <c r="G93" s="144"/>
      <c r="H93" s="3">
        <v>180</v>
      </c>
      <c r="I93" s="76">
        <v>1.027125243348475</v>
      </c>
      <c r="J93" s="76">
        <v>1.0345662989400821</v>
      </c>
      <c r="K93" s="76">
        <v>1.0211334631191866</v>
      </c>
      <c r="L93" s="76">
        <v>1.0211334631191866</v>
      </c>
      <c r="M93" s="76">
        <v>1.0288989833441489</v>
      </c>
      <c r="N93" s="76">
        <v>1.0288989833441489</v>
      </c>
      <c r="O93" s="76">
        <v>1.0226043694570626</v>
      </c>
      <c r="Q93" s="144"/>
      <c r="R93" s="3">
        <v>180</v>
      </c>
      <c r="S93" s="76">
        <v>1.027125243348475</v>
      </c>
      <c r="T93" s="76">
        <v>1.0345662989400821</v>
      </c>
      <c r="U93" s="76">
        <v>1.0211334631191866</v>
      </c>
      <c r="V93" s="76">
        <v>1.0211334631191866</v>
      </c>
      <c r="W93" s="76">
        <v>1.0288989833441489</v>
      </c>
      <c r="X93" s="76">
        <v>1.0288989833441489</v>
      </c>
      <c r="Y93" s="76">
        <v>1.0226043694570626</v>
      </c>
    </row>
    <row r="94" spans="2:25" ht="15.75" x14ac:dyDescent="0.3">
      <c r="B94" s="7" t="s">
        <v>82</v>
      </c>
      <c r="D94" s="54" t="s">
        <v>9</v>
      </c>
      <c r="E94" s="55">
        <f>0.041*E82-0.068</f>
        <v>0.998</v>
      </c>
      <c r="F94" s="55"/>
      <c r="G94" s="144"/>
      <c r="H94" s="3">
        <v>195</v>
      </c>
      <c r="I94" s="1">
        <v>1.02723339822626</v>
      </c>
      <c r="J94" s="1">
        <v>1.0277525416396278</v>
      </c>
      <c r="K94" s="1">
        <v>1.0290720311486048</v>
      </c>
      <c r="L94" s="1">
        <v>1.02</v>
      </c>
      <c r="M94" s="1">
        <v>1.02</v>
      </c>
      <c r="N94" s="1">
        <v>1.02</v>
      </c>
      <c r="O94" s="1">
        <v>1.02</v>
      </c>
      <c r="Q94" s="144"/>
      <c r="R94" s="3">
        <v>195</v>
      </c>
      <c r="S94" s="1">
        <v>1.02723339822626</v>
      </c>
      <c r="T94" s="1">
        <v>1.0277525416396278</v>
      </c>
      <c r="U94" s="1">
        <v>1.0290720311486048</v>
      </c>
      <c r="V94" s="1">
        <v>1.02</v>
      </c>
      <c r="W94" s="1">
        <v>1.0288557213930347</v>
      </c>
      <c r="X94" s="1">
        <v>1.0268224096906771</v>
      </c>
      <c r="Y94" s="1">
        <v>1.0236210253082414</v>
      </c>
    </row>
    <row r="95" spans="2:25" ht="15.75" x14ac:dyDescent="0.3">
      <c r="B95" s="7" t="s">
        <v>83</v>
      </c>
      <c r="D95" s="54" t="s">
        <v>9</v>
      </c>
      <c r="E95" s="55">
        <f>-0.307*E84+1.075</f>
        <v>1.0136000000000001</v>
      </c>
      <c r="F95" s="55"/>
      <c r="G95" s="144"/>
      <c r="H95" s="3">
        <v>210</v>
      </c>
      <c r="I95" s="1">
        <v>1.02723339822626</v>
      </c>
      <c r="J95" s="1">
        <v>1.0277525416396278</v>
      </c>
      <c r="K95" s="1">
        <v>1.01</v>
      </c>
      <c r="L95" s="1">
        <v>1.02</v>
      </c>
      <c r="M95" s="1">
        <v>1.0290720311486048</v>
      </c>
      <c r="N95" s="1">
        <v>1.02</v>
      </c>
      <c r="O95" s="1">
        <v>1.02</v>
      </c>
      <c r="Q95" s="144"/>
      <c r="R95" s="3">
        <v>210</v>
      </c>
      <c r="S95" s="1">
        <v>1.02723339822626</v>
      </c>
      <c r="T95" s="1">
        <v>1.0263032662773091</v>
      </c>
      <c r="U95" s="1">
        <v>1.0239671209171533</v>
      </c>
      <c r="V95" s="1">
        <v>1.0186242699545749</v>
      </c>
      <c r="W95" s="1">
        <v>1.0354964308890331</v>
      </c>
      <c r="X95" s="1">
        <v>1.0338308457711443</v>
      </c>
      <c r="Y95" s="1">
        <v>1.0260653255461822</v>
      </c>
    </row>
    <row r="96" spans="2:25" ht="15.75" x14ac:dyDescent="0.3">
      <c r="B96" s="7" t="s">
        <v>84</v>
      </c>
      <c r="D96" s="54" t="s">
        <v>9</v>
      </c>
      <c r="E96" s="68">
        <f>-0.0006*LN(E79)+0.0014</f>
        <v>-3.8737163679022218E-5</v>
      </c>
      <c r="F96" s="61"/>
      <c r="G96" s="144"/>
      <c r="H96" s="3">
        <v>225</v>
      </c>
      <c r="I96" s="1">
        <v>1.02723339822626</v>
      </c>
      <c r="J96" s="1">
        <v>1.0246593121349772</v>
      </c>
      <c r="K96" s="1">
        <v>1.01</v>
      </c>
      <c r="L96" s="1">
        <v>1.02</v>
      </c>
      <c r="M96" s="1">
        <v>1.0354964308890331</v>
      </c>
      <c r="N96" s="1">
        <v>1.0354964308890331</v>
      </c>
      <c r="O96" s="1">
        <v>1.0349123945489942</v>
      </c>
      <c r="Q96" s="144"/>
      <c r="R96" s="3">
        <v>225</v>
      </c>
      <c r="S96" s="1">
        <v>1.02723339822626</v>
      </c>
      <c r="T96" s="1">
        <v>1.0246593121349772</v>
      </c>
      <c r="U96" s="1">
        <v>1.0205494267791477</v>
      </c>
      <c r="V96" s="1">
        <v>1.0301968418775687</v>
      </c>
      <c r="W96" s="1">
        <v>1.0470906337875838</v>
      </c>
      <c r="X96" s="1">
        <v>1.0494700410988536</v>
      </c>
      <c r="Y96" s="1">
        <v>1.0349123945489942</v>
      </c>
    </row>
    <row r="97" spans="2:25" ht="15.75" x14ac:dyDescent="0.3">
      <c r="B97" s="7" t="s">
        <v>85</v>
      </c>
      <c r="D97" s="54" t="s">
        <v>9</v>
      </c>
      <c r="E97" s="68">
        <f>-0.0042*E79*E79+0.1385*E79-0.0423</f>
        <v>0.97300000000000009</v>
      </c>
      <c r="F97" s="55"/>
      <c r="G97" s="144"/>
      <c r="H97" s="3">
        <v>240</v>
      </c>
      <c r="I97" s="1">
        <v>1.02723339822626</v>
      </c>
      <c r="J97" s="1">
        <v>1.0242050616482803</v>
      </c>
      <c r="K97" s="1">
        <v>1.0214362967769846</v>
      </c>
      <c r="L97" s="1">
        <v>1.0277525416396278</v>
      </c>
      <c r="M97" s="1">
        <v>1.0354964308890331</v>
      </c>
      <c r="N97" s="1">
        <v>1.0635085442353451</v>
      </c>
      <c r="O97" s="1">
        <v>1.0414233181916503</v>
      </c>
      <c r="Q97" s="144"/>
      <c r="R97" s="3">
        <v>240</v>
      </c>
      <c r="S97" s="1">
        <v>1.02723339822626</v>
      </c>
      <c r="T97" s="1">
        <v>1.0242050616482803</v>
      </c>
      <c r="U97" s="1">
        <v>1.0214362967769846</v>
      </c>
      <c r="V97" s="1">
        <v>1.0384166125892278</v>
      </c>
      <c r="W97" s="1">
        <v>1.05</v>
      </c>
      <c r="X97" s="1">
        <v>1.0635085442353451</v>
      </c>
      <c r="Y97" s="1">
        <v>1.0414233181916503</v>
      </c>
    </row>
    <row r="98" spans="2:25" ht="15.75" x14ac:dyDescent="0.3">
      <c r="B98" s="7" t="s">
        <v>86</v>
      </c>
      <c r="D98" s="54" t="s">
        <v>9</v>
      </c>
      <c r="E98" s="68">
        <f>IF(E79&gt;11.5,1,E79/11.5*(E96*E78+E97))</f>
        <v>0.92958406399877602</v>
      </c>
      <c r="F98" s="55"/>
      <c r="G98" s="144"/>
      <c r="H98" s="3">
        <v>255</v>
      </c>
      <c r="I98" s="1">
        <v>1.02723339822626</v>
      </c>
      <c r="J98" s="1">
        <v>1.02723339822626</v>
      </c>
      <c r="K98" s="1">
        <v>1.02723339822626</v>
      </c>
      <c r="L98" s="1">
        <v>1.0354964308890331</v>
      </c>
      <c r="M98" s="1">
        <v>1.0470906337875838</v>
      </c>
      <c r="N98" s="1">
        <v>1.0635085442353451</v>
      </c>
      <c r="O98" s="1">
        <v>1.0409906986805104</v>
      </c>
      <c r="Q98" s="144"/>
      <c r="R98" s="3">
        <v>255</v>
      </c>
      <c r="S98" s="1">
        <v>1.02723339822626</v>
      </c>
      <c r="T98" s="1">
        <v>1.0280337443218688</v>
      </c>
      <c r="U98" s="1">
        <v>1.0257408609128271</v>
      </c>
      <c r="V98" s="1">
        <v>1.0384166125892278</v>
      </c>
      <c r="W98" s="72">
        <v>1.05</v>
      </c>
      <c r="X98" s="1">
        <v>1.0690460739779364</v>
      </c>
      <c r="Y98" s="1">
        <v>1.0409906986805104</v>
      </c>
    </row>
    <row r="99" spans="2:25" ht="15.75" x14ac:dyDescent="0.3">
      <c r="B99" s="7" t="s">
        <v>87</v>
      </c>
      <c r="D99" s="54" t="s">
        <v>9</v>
      </c>
      <c r="E99">
        <f>0.00000255*E81*E81*E81-0.000349*E81*E81+0.01646*E81+0.737</f>
        <v>0.98554999999999993</v>
      </c>
      <c r="F99" s="61"/>
      <c r="G99" s="144"/>
      <c r="H99" s="3">
        <v>270</v>
      </c>
      <c r="I99" s="1">
        <v>1.02723339822626</v>
      </c>
      <c r="J99" s="1">
        <v>1.02723339822626</v>
      </c>
      <c r="K99" s="1">
        <v>1.02723339822626</v>
      </c>
      <c r="L99" s="1">
        <v>1.0690460739779364</v>
      </c>
      <c r="M99" s="1">
        <v>1.0900000000000001</v>
      </c>
      <c r="N99" s="1">
        <v>1.0690460739779364</v>
      </c>
      <c r="O99" s="1">
        <v>1.07</v>
      </c>
      <c r="Q99" s="144"/>
      <c r="R99" s="3">
        <v>270</v>
      </c>
      <c r="S99" s="1">
        <v>1.02723339822626</v>
      </c>
      <c r="T99" s="1">
        <v>1.0281635301752108</v>
      </c>
      <c r="U99" s="1">
        <v>1.0206359506813756</v>
      </c>
      <c r="V99" s="1">
        <v>1.0754488427428077</v>
      </c>
      <c r="W99" s="1">
        <v>1.1127190136275145</v>
      </c>
      <c r="X99" s="1">
        <v>1.0790828466363833</v>
      </c>
      <c r="Y99" s="1">
        <v>1.06</v>
      </c>
    </row>
    <row r="100" spans="2:25" ht="14.25" x14ac:dyDescent="0.2">
      <c r="B100" s="56" t="s">
        <v>96</v>
      </c>
      <c r="C100" s="53"/>
      <c r="D100" s="54" t="s">
        <v>9</v>
      </c>
      <c r="E100" s="60">
        <f>0.0021*E87+0.2842</f>
        <v>0.3367</v>
      </c>
      <c r="F100" s="61"/>
      <c r="G100" s="144"/>
      <c r="H100" s="3">
        <v>285</v>
      </c>
      <c r="I100" s="1">
        <v>1.02723339822626</v>
      </c>
      <c r="J100" s="1">
        <v>1.0307159852909367</v>
      </c>
      <c r="K100" s="1">
        <v>1.010144927536232</v>
      </c>
      <c r="L100" s="1">
        <v>1.08</v>
      </c>
      <c r="M100" s="1">
        <v>1.1100000000000001</v>
      </c>
      <c r="N100" s="1">
        <v>1.1299999999999999</v>
      </c>
      <c r="O100" s="73">
        <v>1.17</v>
      </c>
      <c r="Q100" s="144"/>
      <c r="R100" s="3">
        <v>285</v>
      </c>
      <c r="S100" s="1">
        <v>1.02723339822626</v>
      </c>
      <c r="T100" s="1">
        <v>1.0307159852909367</v>
      </c>
      <c r="U100" s="1">
        <v>1.010144927536232</v>
      </c>
      <c r="V100" s="1">
        <v>1.0932943975773308</v>
      </c>
      <c r="W100" s="1">
        <v>1.1248107289638762</v>
      </c>
      <c r="X100" s="1">
        <v>1.1499999999999999</v>
      </c>
      <c r="Y100" s="5">
        <v>1.18</v>
      </c>
    </row>
    <row r="101" spans="2:25" ht="14.25" x14ac:dyDescent="0.2">
      <c r="B101" s="56" t="s">
        <v>97</v>
      </c>
      <c r="C101" s="53"/>
      <c r="D101" s="54" t="s">
        <v>9</v>
      </c>
      <c r="E101" s="60">
        <f>106.0475*POWER(E87,-1.5193)</f>
        <v>0.79727873286290329</v>
      </c>
      <c r="F101" s="55"/>
      <c r="G101" s="144"/>
      <c r="H101" s="3">
        <v>300</v>
      </c>
      <c r="I101" s="1">
        <v>1.02723339822626</v>
      </c>
      <c r="J101" s="1">
        <v>1.0307159852909367</v>
      </c>
      <c r="K101" s="1">
        <v>1.0245727882327493</v>
      </c>
      <c r="L101" s="1">
        <v>1.0635085442353451</v>
      </c>
      <c r="M101" s="1">
        <v>1.08</v>
      </c>
      <c r="N101" s="1">
        <v>1.1100000000000001</v>
      </c>
      <c r="O101" s="1">
        <v>1.08</v>
      </c>
      <c r="Q101" s="144"/>
      <c r="R101" s="3">
        <v>300</v>
      </c>
      <c r="S101" s="1">
        <v>1.02723339822626</v>
      </c>
      <c r="T101" s="1">
        <v>1.0313216526065325</v>
      </c>
      <c r="U101" s="1">
        <v>1.0127190136275146</v>
      </c>
      <c r="V101" s="1">
        <v>1.0484750162232317</v>
      </c>
      <c r="W101" s="1">
        <v>1.1133463119186675</v>
      </c>
      <c r="X101" s="1">
        <v>1.0585334198572356</v>
      </c>
      <c r="Y101" s="1">
        <v>1.0414665801427645</v>
      </c>
    </row>
    <row r="102" spans="2:25" ht="15.75" x14ac:dyDescent="0.2">
      <c r="B102" s="56" t="s">
        <v>98</v>
      </c>
      <c r="C102" s="53"/>
      <c r="D102" s="54" t="s">
        <v>9</v>
      </c>
      <c r="E102" s="60">
        <f>E100*E89+E101</f>
        <v>0.89828873286290334</v>
      </c>
      <c r="F102" s="55"/>
      <c r="G102" s="144"/>
      <c r="H102" s="3">
        <v>315</v>
      </c>
      <c r="I102" s="1">
        <v>1.02723339822626</v>
      </c>
      <c r="J102" s="1">
        <v>1.0245727882327493</v>
      </c>
      <c r="K102" s="1">
        <v>1.027125243348475</v>
      </c>
      <c r="L102" s="1">
        <v>1.0484750162232317</v>
      </c>
      <c r="M102" s="1">
        <v>1.0690460739779364</v>
      </c>
      <c r="N102" s="1">
        <v>1.08</v>
      </c>
      <c r="O102" s="1">
        <v>1.0409906986805104</v>
      </c>
      <c r="Q102" s="144"/>
      <c r="R102" s="3">
        <v>315</v>
      </c>
      <c r="S102" s="1">
        <v>1.02723339822626</v>
      </c>
      <c r="T102" s="1">
        <v>1.0325546182132814</v>
      </c>
      <c r="U102" s="1">
        <v>1.0138221933809215</v>
      </c>
      <c r="V102" s="1">
        <v>1.0333333333333332</v>
      </c>
      <c r="W102" s="1">
        <v>1.1000000000000001</v>
      </c>
      <c r="X102" s="1">
        <v>1.05</v>
      </c>
      <c r="Y102" s="1">
        <v>1.0311486048020766</v>
      </c>
    </row>
    <row r="103" spans="2:25" ht="15.75" x14ac:dyDescent="0.3">
      <c r="B103" s="7" t="s">
        <v>88</v>
      </c>
      <c r="D103" s="6" t="s">
        <v>9</v>
      </c>
      <c r="E103" s="60">
        <f>1/((1/E89)*0.085+0.9)</f>
        <v>0.84507042253521125</v>
      </c>
      <c r="F103" s="14"/>
      <c r="G103" s="144"/>
      <c r="H103" s="3">
        <v>330</v>
      </c>
      <c r="I103" s="1">
        <v>1.027125243348475</v>
      </c>
      <c r="J103" s="1">
        <v>1.0245727882327493</v>
      </c>
      <c r="K103" s="1">
        <v>1.027125243348475</v>
      </c>
      <c r="L103" s="1">
        <v>1.0354964308890331</v>
      </c>
      <c r="M103" s="1">
        <v>1.0690460739779364</v>
      </c>
      <c r="N103" s="1">
        <v>1.0585334198572356</v>
      </c>
      <c r="O103" s="1">
        <v>1.0311486048020766</v>
      </c>
      <c r="Q103" s="144"/>
      <c r="R103" s="3">
        <v>330</v>
      </c>
      <c r="S103" s="1">
        <v>1.02723339822626</v>
      </c>
      <c r="T103" s="1">
        <v>1.0262383733506382</v>
      </c>
      <c r="U103" s="1">
        <v>1.0245727882327493</v>
      </c>
      <c r="V103" s="1">
        <v>1.0262383733506382</v>
      </c>
      <c r="W103" s="77">
        <v>1.1000000000000001</v>
      </c>
      <c r="X103" s="77">
        <v>1.0368159203980098</v>
      </c>
      <c r="Y103" s="77">
        <v>1.0262383733506382</v>
      </c>
    </row>
    <row r="104" spans="2:25" ht="15.75" x14ac:dyDescent="0.3">
      <c r="B104" s="7" t="s">
        <v>89</v>
      </c>
      <c r="D104" s="6" t="s">
        <v>9</v>
      </c>
      <c r="E104" s="60">
        <f>1/(0.7252*E89*E89+0.7802*E89+0.44)</f>
        <v>1.3525796398891967</v>
      </c>
      <c r="F104" s="55"/>
      <c r="G104" s="144"/>
      <c r="H104" s="3">
        <v>345</v>
      </c>
      <c r="I104" s="1">
        <v>1.027125243348475</v>
      </c>
      <c r="J104" s="1">
        <v>1.0307159852909367</v>
      </c>
      <c r="K104" s="1">
        <v>1.027125243348475</v>
      </c>
      <c r="L104" s="1">
        <v>1.027125243348475</v>
      </c>
      <c r="M104" s="1">
        <v>1.0690460739779364</v>
      </c>
      <c r="N104" s="1">
        <v>1.0311486048020766</v>
      </c>
      <c r="O104" s="1">
        <v>1.0226043694570626</v>
      </c>
      <c r="Q104" s="144"/>
      <c r="R104" s="3">
        <v>345</v>
      </c>
      <c r="S104" s="1">
        <v>1.027125243348475</v>
      </c>
      <c r="T104" s="1">
        <v>1.0337875838200303</v>
      </c>
      <c r="U104" s="1">
        <v>1.0262383733506382</v>
      </c>
      <c r="V104" s="1">
        <v>1.0262383733506382</v>
      </c>
      <c r="W104" s="72">
        <v>1.0900000000000001</v>
      </c>
      <c r="X104" s="1">
        <v>1.0288989833441489</v>
      </c>
      <c r="Y104" s="1">
        <v>1.0226043694570626</v>
      </c>
    </row>
    <row r="105" spans="2:25" ht="15.75" x14ac:dyDescent="0.3">
      <c r="B105" s="7" t="s">
        <v>90</v>
      </c>
      <c r="D105" s="6" t="s">
        <v>9</v>
      </c>
      <c r="E105" s="69">
        <f>1/(2.6752*E89*E89+5.6832*E89+1.1407)</f>
        <v>0.32399913427431326</v>
      </c>
      <c r="F105" s="55"/>
      <c r="G105" s="145"/>
      <c r="H105" s="3">
        <v>360</v>
      </c>
      <c r="I105" s="1">
        <v>1.027125243348475</v>
      </c>
      <c r="J105" s="1">
        <v>1.0294397577330738</v>
      </c>
      <c r="K105" s="1">
        <v>1.0312134977287475</v>
      </c>
      <c r="L105" s="1">
        <v>1.02</v>
      </c>
      <c r="M105" s="1">
        <v>1.0207224745836037</v>
      </c>
      <c r="N105" s="4">
        <v>1.0015407568736392</v>
      </c>
      <c r="O105" s="1">
        <v>1.0226043694570626</v>
      </c>
      <c r="Q105" s="145"/>
      <c r="R105" s="3">
        <v>360</v>
      </c>
      <c r="S105" s="1">
        <v>1.027125243348475</v>
      </c>
      <c r="T105" s="1">
        <v>1.0294397577330738</v>
      </c>
      <c r="U105" s="1">
        <v>1.0312134977287475</v>
      </c>
      <c r="V105" s="1">
        <v>1.02</v>
      </c>
      <c r="W105" s="1">
        <v>1.0207224745836037</v>
      </c>
      <c r="X105" s="4">
        <v>1.0015407568736392</v>
      </c>
      <c r="Y105" s="1">
        <v>1.0226043694570626</v>
      </c>
    </row>
    <row r="106" spans="2:25" ht="15.75" x14ac:dyDescent="0.3">
      <c r="B106" s="10" t="s">
        <v>88</v>
      </c>
      <c r="D106" s="6" t="s">
        <v>9</v>
      </c>
      <c r="E106" s="62">
        <f>-0.0012/(1.0843*POWER((E83/1000),0.3318))</f>
        <v>-1.1067047864982014E-3</v>
      </c>
      <c r="F106" s="55"/>
    </row>
    <row r="107" spans="2:25" ht="15.75" x14ac:dyDescent="0.3">
      <c r="B107" s="10" t="s">
        <v>89</v>
      </c>
      <c r="D107" s="6" t="s">
        <v>9</v>
      </c>
      <c r="E107" s="62">
        <f>-2.8204/(0.0531*(E83/1000)*(E83/1000)+0.0552*(E83/1000)+0.8595)</f>
        <v>-2.9142384790245917</v>
      </c>
      <c r="F107" s="55"/>
    </row>
    <row r="108" spans="2:25" ht="15.75" x14ac:dyDescent="0.3">
      <c r="B108" s="10" t="s">
        <v>90</v>
      </c>
      <c r="D108" s="6" t="s">
        <v>9</v>
      </c>
      <c r="E108" s="62">
        <f>-96.6259/(0.0922*(E83/1000)*(E83/1000)+0.3714*(E83/1000)+0.5376)</f>
        <v>-96.510087894526578</v>
      </c>
      <c r="F108" s="55"/>
    </row>
    <row r="109" spans="2:25" ht="16.5" thickBot="1" x14ac:dyDescent="0.35">
      <c r="B109" s="63" t="s">
        <v>91</v>
      </c>
      <c r="C109" s="12"/>
      <c r="D109" s="13" t="s">
        <v>9</v>
      </c>
      <c r="E109" s="64">
        <f>(E106*E80*E80*E103+E107*E80*E104+E108*E105)*E102</f>
        <v>-154.84663671586981</v>
      </c>
      <c r="F109" s="55"/>
    </row>
    <row r="110" spans="2:25" ht="15.75" x14ac:dyDescent="0.3">
      <c r="B110" s="7" t="s">
        <v>99</v>
      </c>
      <c r="D110" s="6" t="s">
        <v>9</v>
      </c>
      <c r="E110" s="2">
        <f>0.36311*LN(E78)-0.239976</f>
        <v>0.99503278125534522</v>
      </c>
      <c r="F110" s="55"/>
    </row>
    <row r="111" spans="2:25" ht="15.75" x14ac:dyDescent="0.3">
      <c r="B111" s="7" t="s">
        <v>100</v>
      </c>
      <c r="D111" s="6" t="s">
        <v>9</v>
      </c>
      <c r="E111">
        <f>-0.015*E88+1.65</f>
        <v>1.5</v>
      </c>
      <c r="F111" s="55"/>
    </row>
    <row r="112" spans="2:25" ht="15.75" x14ac:dyDescent="0.3">
      <c r="B112" s="10" t="s">
        <v>92</v>
      </c>
      <c r="D112" s="6" t="s">
        <v>9</v>
      </c>
      <c r="E112">
        <f>IF(E88&gt;30,0,-0.0015*E88+0.17917)</f>
        <v>0.16416999999999998</v>
      </c>
      <c r="F112" s="55"/>
    </row>
    <row r="113" spans="2:15" ht="15.75" x14ac:dyDescent="0.3">
      <c r="B113" s="7" t="s">
        <v>101</v>
      </c>
      <c r="D113" s="6" t="s">
        <v>9</v>
      </c>
      <c r="E113" s="2">
        <f>0.0213*E87+0.4667</f>
        <v>0.99919999999999998</v>
      </c>
      <c r="F113" s="55"/>
    </row>
    <row r="114" spans="2:15" ht="15.75" x14ac:dyDescent="0.3">
      <c r="B114" s="7" t="s">
        <v>102</v>
      </c>
      <c r="D114" s="6" t="s">
        <v>9</v>
      </c>
      <c r="E114" s="2">
        <f>1/(POWER(E90,E112))*E111*E113</f>
        <v>2.1873268518005533</v>
      </c>
      <c r="F114" s="55"/>
    </row>
    <row r="115" spans="2:15" ht="15.75" x14ac:dyDescent="0.3">
      <c r="B115" s="7" t="s">
        <v>103</v>
      </c>
      <c r="D115" s="6" t="s">
        <v>9</v>
      </c>
      <c r="E115" s="2">
        <f>E110*E114*E92*0.63</f>
        <v>1.412306140447094</v>
      </c>
      <c r="F115" s="55"/>
    </row>
    <row r="116" spans="2:15" ht="15.75" x14ac:dyDescent="0.3">
      <c r="B116" s="7" t="s">
        <v>104</v>
      </c>
      <c r="D116" s="6" t="s">
        <v>9</v>
      </c>
      <c r="E116" s="2">
        <f>VLOOKUP(E85,'+'!$H$81:$O$105,HLOOKUP(E86,'+'!$I$79:$O$80,2,FALSE),FALSE)</f>
        <v>1.02</v>
      </c>
      <c r="F116" s="55"/>
    </row>
    <row r="117" spans="2:15" ht="15.75" x14ac:dyDescent="0.3">
      <c r="B117" s="9" t="s">
        <v>105</v>
      </c>
      <c r="C117" s="55"/>
      <c r="D117" s="70" t="s">
        <v>9</v>
      </c>
      <c r="E117" s="71">
        <f>1+((E116-1)/0.18)*(E115-1)</f>
        <v>1.0458117933830104</v>
      </c>
      <c r="F117" s="55"/>
    </row>
    <row r="118" spans="2:15" ht="15.75" x14ac:dyDescent="0.3">
      <c r="B118" s="7" t="s">
        <v>106</v>
      </c>
      <c r="D118" s="6" t="s">
        <v>9</v>
      </c>
      <c r="E118" s="2">
        <f>VLOOKUP(E85,'+'!$R$81:$Y$105,HLOOKUP(E86,'+'!$S$79:$Y$80,2,FALSE),FALSE)</f>
        <v>1.0186242699545749</v>
      </c>
      <c r="F118" s="55"/>
    </row>
    <row r="119" spans="2:15" ht="16.5" thickBot="1" x14ac:dyDescent="0.35">
      <c r="B119" s="11" t="s">
        <v>107</v>
      </c>
      <c r="C119" s="12"/>
      <c r="D119" s="13" t="s">
        <v>9</v>
      </c>
      <c r="E119" s="65">
        <f>1+((E118-1)/0.18)*(E115-1)</f>
        <v>1.0426605603534198</v>
      </c>
      <c r="F119" s="55"/>
    </row>
    <row r="120" spans="2:15" x14ac:dyDescent="0.2">
      <c r="F120" s="55"/>
    </row>
    <row r="121" spans="2:15" ht="15.75" x14ac:dyDescent="0.3">
      <c r="B121" s="10" t="s">
        <v>93</v>
      </c>
      <c r="C121" s="53" t="s">
        <v>75</v>
      </c>
      <c r="D121" s="6" t="s">
        <v>9</v>
      </c>
      <c r="E121" s="66">
        <f>E94*E95*E98*E99*E109*E91</f>
        <v>-149.24493168928657</v>
      </c>
      <c r="F121" s="55"/>
    </row>
    <row r="122" spans="2:15" ht="15.75" x14ac:dyDescent="0.3">
      <c r="B122" s="10" t="s">
        <v>94</v>
      </c>
      <c r="C122" s="53" t="s">
        <v>75</v>
      </c>
      <c r="D122" s="6" t="s">
        <v>9</v>
      </c>
      <c r="E122" s="66">
        <f>E117*E121</f>
        <v>-156.08210966329767</v>
      </c>
      <c r="F122" s="55"/>
    </row>
    <row r="123" spans="2:15" ht="15.75" x14ac:dyDescent="0.3">
      <c r="B123" s="10" t="s">
        <v>95</v>
      </c>
      <c r="C123" s="53" t="s">
        <v>75</v>
      </c>
      <c r="D123" s="6" t="s">
        <v>9</v>
      </c>
      <c r="E123" s="66">
        <f>E119*E121</f>
        <v>-155.61180410505941</v>
      </c>
      <c r="F123" s="55"/>
    </row>
    <row r="126" spans="2:15" ht="15.75" x14ac:dyDescent="0.3">
      <c r="B126" s="7" t="s">
        <v>52</v>
      </c>
      <c r="C126" t="s">
        <v>6</v>
      </c>
      <c r="D126" s="6" t="s">
        <v>9</v>
      </c>
      <c r="E126">
        <f>Prognosewerte!F7</f>
        <v>30</v>
      </c>
    </row>
    <row r="127" spans="2:15" ht="15.75" x14ac:dyDescent="0.3">
      <c r="B127" s="7" t="s">
        <v>77</v>
      </c>
      <c r="C127" s="53" t="s">
        <v>6</v>
      </c>
      <c r="D127" s="54" t="s">
        <v>9</v>
      </c>
      <c r="E127" s="53">
        <f>Prognosewerte!F8</f>
        <v>11</v>
      </c>
      <c r="G127" s="149" t="s">
        <v>129</v>
      </c>
      <c r="H127" s="150"/>
      <c r="I127" s="146" t="s">
        <v>11</v>
      </c>
      <c r="J127" s="147"/>
      <c r="K127" s="147"/>
      <c r="L127" s="147"/>
      <c r="M127" s="147"/>
      <c r="N127" s="147"/>
      <c r="O127" s="148"/>
    </row>
    <row r="128" spans="2:15" ht="15.75" x14ac:dyDescent="0.2">
      <c r="B128" s="56" t="s">
        <v>110</v>
      </c>
      <c r="C128" s="53" t="s">
        <v>6</v>
      </c>
      <c r="D128" s="54" t="s">
        <v>9</v>
      </c>
      <c r="E128" s="53">
        <f>E126+E127</f>
        <v>41</v>
      </c>
      <c r="G128" s="151"/>
      <c r="H128" s="152"/>
      <c r="I128" s="3">
        <v>0</v>
      </c>
      <c r="J128" s="3">
        <v>15</v>
      </c>
      <c r="K128" s="3">
        <v>30</v>
      </c>
      <c r="L128" s="3">
        <v>45</v>
      </c>
      <c r="M128" s="3">
        <v>60</v>
      </c>
      <c r="N128" s="3">
        <v>75</v>
      </c>
      <c r="O128" s="3">
        <v>90</v>
      </c>
    </row>
    <row r="129" spans="2:15" ht="15.75" x14ac:dyDescent="0.2">
      <c r="B129" s="56" t="s">
        <v>53</v>
      </c>
      <c r="C129" s="53" t="s">
        <v>54</v>
      </c>
      <c r="D129" s="54" t="s">
        <v>9</v>
      </c>
      <c r="E129" s="53">
        <f>Prognosewerte!F9</f>
        <v>30</v>
      </c>
      <c r="G129" s="153"/>
      <c r="H129" s="154"/>
      <c r="I129" s="3">
        <v>2</v>
      </c>
      <c r="J129" s="3">
        <v>3</v>
      </c>
      <c r="K129" s="3">
        <v>4</v>
      </c>
      <c r="L129" s="3">
        <v>5</v>
      </c>
      <c r="M129" s="3">
        <v>6</v>
      </c>
      <c r="N129" s="3">
        <v>7</v>
      </c>
      <c r="O129" s="3">
        <v>8</v>
      </c>
    </row>
    <row r="130" spans="2:15" ht="15.75" x14ac:dyDescent="0.2">
      <c r="B130" s="57" t="s">
        <v>18</v>
      </c>
      <c r="C130" s="53" t="s">
        <v>19</v>
      </c>
      <c r="D130" s="54" t="s">
        <v>9</v>
      </c>
      <c r="E130" s="53">
        <f>Prognosewerte!F10</f>
        <v>26</v>
      </c>
      <c r="G130" s="143" t="s">
        <v>12</v>
      </c>
      <c r="H130" s="3">
        <v>0</v>
      </c>
      <c r="I130" s="1">
        <v>1.57</v>
      </c>
      <c r="J130" s="1">
        <v>1.5880690991281885</v>
      </c>
      <c r="K130" s="1">
        <v>1.6555134000645788</v>
      </c>
      <c r="L130" s="1">
        <v>1.5787051985792702</v>
      </c>
      <c r="M130" s="1">
        <v>1.608007749434937</v>
      </c>
      <c r="N130" s="78">
        <v>1.24</v>
      </c>
      <c r="O130" s="78">
        <v>1.4224168550209899</v>
      </c>
    </row>
    <row r="131" spans="2:15" ht="15.75" x14ac:dyDescent="0.2">
      <c r="B131" s="56" t="s">
        <v>20</v>
      </c>
      <c r="C131" s="53" t="s">
        <v>8</v>
      </c>
      <c r="D131" s="54" t="s">
        <v>9</v>
      </c>
      <c r="E131" s="58">
        <f>Prognosewerte!F11</f>
        <v>1000</v>
      </c>
      <c r="G131" s="144"/>
      <c r="H131" s="3">
        <v>15</v>
      </c>
      <c r="I131" s="1">
        <v>1.57</v>
      </c>
      <c r="J131" s="1">
        <v>1.5806829189538263</v>
      </c>
      <c r="K131" s="1">
        <v>1.6624959638359702</v>
      </c>
      <c r="L131" s="1">
        <v>1.5906522441072006</v>
      </c>
      <c r="M131" s="1">
        <v>1.6129722311914756</v>
      </c>
      <c r="N131" s="78">
        <v>1.56</v>
      </c>
      <c r="O131" s="78">
        <v>1.4601792056829199</v>
      </c>
    </row>
    <row r="132" spans="2:15" ht="15.75" x14ac:dyDescent="0.3">
      <c r="B132" s="10" t="s">
        <v>10</v>
      </c>
      <c r="C132" t="s">
        <v>7</v>
      </c>
      <c r="D132" s="6" t="s">
        <v>9</v>
      </c>
      <c r="E132">
        <f>Prognosewerte!F13</f>
        <v>210</v>
      </c>
      <c r="G132" s="144"/>
      <c r="H132" s="3">
        <v>30</v>
      </c>
      <c r="I132" s="1">
        <v>1.5758395221181789</v>
      </c>
      <c r="J132" s="1">
        <v>1.5600581207620277</v>
      </c>
      <c r="K132" s="1">
        <v>1.6861075234097513</v>
      </c>
      <c r="L132" s="1">
        <v>1.6483693897319986</v>
      </c>
      <c r="M132" s="1">
        <v>1.6332337746206005</v>
      </c>
      <c r="N132" s="78">
        <v>1.6161204391346466</v>
      </c>
      <c r="O132" s="78">
        <v>1.5594123345172748</v>
      </c>
    </row>
    <row r="133" spans="2:15" x14ac:dyDescent="0.2">
      <c r="B133" s="10" t="s">
        <v>11</v>
      </c>
      <c r="C133" t="s">
        <v>7</v>
      </c>
      <c r="D133" s="6" t="s">
        <v>9</v>
      </c>
      <c r="E133">
        <f>Prognosewerte!F14</f>
        <v>45</v>
      </c>
      <c r="G133" s="144"/>
      <c r="H133" s="3">
        <v>45</v>
      </c>
      <c r="I133" s="1">
        <v>1.5758395221181789</v>
      </c>
      <c r="J133" s="1">
        <v>1.5300290603810138</v>
      </c>
      <c r="K133" s="1">
        <v>1.6734339683564741</v>
      </c>
      <c r="L133" s="1">
        <v>1.7096787213432354</v>
      </c>
      <c r="M133" s="1">
        <v>1.6654423635776558</v>
      </c>
      <c r="N133" s="78">
        <v>1.5907733290280917</v>
      </c>
      <c r="O133" s="78">
        <v>1.5704714239586699</v>
      </c>
    </row>
    <row r="134" spans="2:15" ht="15.75" x14ac:dyDescent="0.2">
      <c r="B134" s="57" t="s">
        <v>0</v>
      </c>
      <c r="C134" s="53" t="s">
        <v>7</v>
      </c>
      <c r="D134" s="54" t="s">
        <v>9</v>
      </c>
      <c r="E134" s="53">
        <f>Prognosewerte!F15</f>
        <v>25</v>
      </c>
      <c r="G134" s="144"/>
      <c r="H134" s="3">
        <v>60</v>
      </c>
      <c r="I134" s="1">
        <v>1.5758395221181789</v>
      </c>
      <c r="J134" s="1">
        <v>1.5107765579593155</v>
      </c>
      <c r="K134" s="1">
        <v>1.6369874071682273</v>
      </c>
      <c r="L134" s="1">
        <v>1.7319987084275106</v>
      </c>
      <c r="M134" s="1">
        <v>1.7144413948982886</v>
      </c>
      <c r="N134" s="78">
        <v>1.6015095253471103</v>
      </c>
      <c r="O134" s="78">
        <v>1.5671617694543105</v>
      </c>
    </row>
    <row r="135" spans="2:15" ht="15.75" x14ac:dyDescent="0.3">
      <c r="B135" s="8" t="s">
        <v>1</v>
      </c>
      <c r="C135" t="s">
        <v>7</v>
      </c>
      <c r="D135" s="6" t="s">
        <v>9</v>
      </c>
      <c r="E135">
        <f>Prognosewerte!F16</f>
        <v>10</v>
      </c>
      <c r="G135" s="144"/>
      <c r="H135" s="3">
        <v>75</v>
      </c>
      <c r="I135" s="1">
        <v>1.5758395221181789</v>
      </c>
      <c r="J135" s="1">
        <v>1.5268808524378432</v>
      </c>
      <c r="K135" s="1">
        <v>1.6068372618663223</v>
      </c>
      <c r="L135" s="1">
        <v>1.7049160477881822</v>
      </c>
      <c r="M135" s="5">
        <v>1.7383758475944462</v>
      </c>
      <c r="N135" s="78">
        <v>1.6188246690345496</v>
      </c>
      <c r="O135" s="78">
        <v>1.5722876977720375</v>
      </c>
    </row>
    <row r="136" spans="2:15" ht="15.75" x14ac:dyDescent="0.2">
      <c r="B136" s="56" t="s">
        <v>4</v>
      </c>
      <c r="C136" s="53" t="s">
        <v>8</v>
      </c>
      <c r="D136" s="54" t="s">
        <v>9</v>
      </c>
      <c r="E136" s="53">
        <f>Prognosewerte!F17</f>
        <v>0.3</v>
      </c>
      <c r="G136" s="144"/>
      <c r="H136" s="3">
        <v>90</v>
      </c>
      <c r="I136" s="1">
        <v>1.5758395221181789</v>
      </c>
      <c r="J136" s="1">
        <v>1.5975540845979981</v>
      </c>
      <c r="K136" s="1">
        <v>1.6720213109460769</v>
      </c>
      <c r="L136" s="1">
        <v>1.7347029383274137</v>
      </c>
      <c r="M136" s="1">
        <v>1.73</v>
      </c>
      <c r="N136" s="78">
        <v>1.6317403939296093</v>
      </c>
      <c r="O136" s="78">
        <v>1.3601792056829201</v>
      </c>
    </row>
    <row r="137" spans="2:15" ht="15.75" x14ac:dyDescent="0.3">
      <c r="B137" s="9" t="s">
        <v>5</v>
      </c>
      <c r="C137" t="s">
        <v>8</v>
      </c>
      <c r="D137" s="6" t="s">
        <v>9</v>
      </c>
      <c r="E137">
        <f>Prognosewerte!F18</f>
        <v>0.1</v>
      </c>
      <c r="G137" s="144"/>
      <c r="H137" s="3">
        <v>105</v>
      </c>
      <c r="I137" s="1">
        <v>1.5758395221181789</v>
      </c>
      <c r="J137" s="1">
        <v>1.6701646754924122</v>
      </c>
      <c r="K137" s="1">
        <v>1.7</v>
      </c>
      <c r="L137" s="1">
        <v>1.8083629318695513</v>
      </c>
      <c r="M137" s="1">
        <v>1.72</v>
      </c>
      <c r="N137" s="78">
        <v>1.6243542137552471</v>
      </c>
      <c r="O137" s="78">
        <v>1.0900000000000001</v>
      </c>
    </row>
    <row r="138" spans="2:15" ht="15.75" x14ac:dyDescent="0.3">
      <c r="B138" s="10" t="s">
        <v>111</v>
      </c>
      <c r="C138" s="53" t="s">
        <v>15</v>
      </c>
      <c r="D138" s="54" t="s">
        <v>9</v>
      </c>
      <c r="E138" s="53">
        <v>1.08</v>
      </c>
      <c r="G138" s="144"/>
      <c r="H138" s="3">
        <v>120</v>
      </c>
      <c r="I138" s="1">
        <v>1.5758395221181789</v>
      </c>
      <c r="J138" s="1">
        <v>1.7054811107523411</v>
      </c>
      <c r="K138" s="1">
        <v>1.73</v>
      </c>
      <c r="L138" s="1">
        <v>1.1274620600581207</v>
      </c>
      <c r="M138" s="1">
        <v>1.1754924120116241</v>
      </c>
      <c r="N138" s="78">
        <v>1.0415321278656766</v>
      </c>
      <c r="O138" s="78">
        <v>1.02</v>
      </c>
    </row>
    <row r="139" spans="2:15" ht="15.75" x14ac:dyDescent="0.3">
      <c r="B139" s="15" t="s">
        <v>56</v>
      </c>
      <c r="C139" s="16" t="s">
        <v>15</v>
      </c>
      <c r="D139" s="17" t="s">
        <v>9</v>
      </c>
      <c r="E139" s="59">
        <v>1.05</v>
      </c>
      <c r="G139" s="144"/>
      <c r="H139" s="3">
        <v>135</v>
      </c>
      <c r="I139" s="1">
        <v>1.35</v>
      </c>
      <c r="J139" s="1">
        <v>1.7141588634162093</v>
      </c>
      <c r="K139" s="1">
        <v>1.72</v>
      </c>
      <c r="L139" s="1">
        <v>1.7163787536325477</v>
      </c>
      <c r="M139" s="1">
        <v>1.6442928640619954</v>
      </c>
      <c r="N139" s="78">
        <v>1.6166855020988053</v>
      </c>
      <c r="O139" s="78">
        <v>1.5708750403616403</v>
      </c>
    </row>
    <row r="140" spans="2:15" ht="13.5" thickBot="1" x14ac:dyDescent="0.25">
      <c r="B140" s="11"/>
      <c r="C140" s="12"/>
      <c r="D140" s="13"/>
      <c r="E140" s="12"/>
      <c r="G140" s="144"/>
      <c r="H140" s="3">
        <v>150</v>
      </c>
      <c r="I140" s="1">
        <v>1.2</v>
      </c>
      <c r="J140" s="1">
        <v>1.7190022602518567</v>
      </c>
      <c r="K140" s="1">
        <v>1.7211414271876011</v>
      </c>
      <c r="L140" s="1">
        <v>1.5551340006457863</v>
      </c>
      <c r="M140" s="1">
        <v>1.5966257668711656</v>
      </c>
      <c r="N140" s="78">
        <v>1.6168873103002908</v>
      </c>
      <c r="O140" s="78">
        <v>1.5663141750080725</v>
      </c>
    </row>
    <row r="141" spans="2:15" ht="15.75" x14ac:dyDescent="0.3">
      <c r="B141" s="7" t="s">
        <v>112</v>
      </c>
      <c r="D141" s="54" t="s">
        <v>9</v>
      </c>
      <c r="E141" s="55">
        <f>0.036*E130+0.06</f>
        <v>0.996</v>
      </c>
      <c r="G141" s="144"/>
      <c r="H141" s="3">
        <v>165</v>
      </c>
      <c r="I141" s="1">
        <v>1.0700678075556991</v>
      </c>
      <c r="J141" s="1">
        <v>1.03</v>
      </c>
      <c r="K141" s="1">
        <v>1.0839118501775913</v>
      </c>
      <c r="L141" s="1">
        <v>1.05</v>
      </c>
      <c r="M141" s="79">
        <v>1</v>
      </c>
      <c r="N141" s="78">
        <v>1.02</v>
      </c>
      <c r="O141" s="78">
        <v>1.03</v>
      </c>
    </row>
    <row r="142" spans="2:15" ht="15.75" x14ac:dyDescent="0.3">
      <c r="B142" s="7" t="s">
        <v>113</v>
      </c>
      <c r="D142" s="54" t="s">
        <v>9</v>
      </c>
      <c r="E142">
        <f>0.003959*E129+0.845</f>
        <v>0.96377000000000002</v>
      </c>
      <c r="G142" s="144"/>
      <c r="H142" s="3">
        <v>180</v>
      </c>
      <c r="I142" s="1">
        <v>1.0700678075556991</v>
      </c>
      <c r="J142" s="1">
        <v>1.0144494672263482</v>
      </c>
      <c r="K142" s="1">
        <v>1.0651436874394575</v>
      </c>
      <c r="L142" s="1">
        <v>1.0941637068130448</v>
      </c>
      <c r="M142" s="1">
        <v>1.0688973199870841</v>
      </c>
      <c r="N142" s="78">
        <v>1.1342831772683242</v>
      </c>
      <c r="O142" s="78">
        <v>1.0735389086212466</v>
      </c>
    </row>
    <row r="143" spans="2:15" ht="14.25" x14ac:dyDescent="0.2">
      <c r="B143" s="56" t="s">
        <v>114</v>
      </c>
      <c r="C143" s="53"/>
      <c r="D143" s="54" t="s">
        <v>9</v>
      </c>
      <c r="E143" s="60">
        <f>0.002*E134+0.2246</f>
        <v>0.27460000000000001</v>
      </c>
      <c r="G143" s="144"/>
      <c r="H143" s="3">
        <v>195</v>
      </c>
      <c r="I143" s="1">
        <v>1.0700678075556991</v>
      </c>
      <c r="J143" s="1">
        <v>1.03</v>
      </c>
      <c r="K143" s="1">
        <v>1.0839118501775913</v>
      </c>
      <c r="L143" s="1">
        <v>1.05</v>
      </c>
      <c r="M143" s="79">
        <v>1</v>
      </c>
      <c r="N143" s="78">
        <v>1.02</v>
      </c>
      <c r="O143" s="78">
        <v>1.03</v>
      </c>
    </row>
    <row r="144" spans="2:15" ht="14.25" x14ac:dyDescent="0.2">
      <c r="B144" s="56" t="s">
        <v>115</v>
      </c>
      <c r="C144" s="53"/>
      <c r="D144" s="54" t="s">
        <v>9</v>
      </c>
      <c r="E144" s="60">
        <f>202.2242*POWER(E134,-1.6645)</f>
        <v>0.95271275929440058</v>
      </c>
      <c r="G144" s="144"/>
      <c r="H144" s="3">
        <v>210</v>
      </c>
      <c r="I144" s="1">
        <v>1.2</v>
      </c>
      <c r="J144" s="1">
        <v>1.7190022602518567</v>
      </c>
      <c r="K144" s="1">
        <v>1.7211414271876011</v>
      </c>
      <c r="L144" s="1">
        <v>1.5551340006457863</v>
      </c>
      <c r="M144" s="1">
        <v>1.5966257668711656</v>
      </c>
      <c r="N144" s="78">
        <v>1.6168873103002908</v>
      </c>
      <c r="O144" s="78">
        <v>1.5663141750080725</v>
      </c>
    </row>
    <row r="145" spans="2:15" ht="15.75" x14ac:dyDescent="0.2">
      <c r="B145" s="56" t="s">
        <v>116</v>
      </c>
      <c r="C145" s="53"/>
      <c r="D145" s="54" t="s">
        <v>9</v>
      </c>
      <c r="E145" s="60">
        <f>E143*E136+E144</f>
        <v>1.0350927592944006</v>
      </c>
      <c r="G145" s="144"/>
      <c r="H145" s="3">
        <v>225</v>
      </c>
      <c r="I145" s="1">
        <v>1.35</v>
      </c>
      <c r="J145" s="1">
        <v>1.7141588634162093</v>
      </c>
      <c r="K145" s="1">
        <v>1.72</v>
      </c>
      <c r="L145" s="1">
        <v>1.7163787536325477</v>
      </c>
      <c r="M145" s="1">
        <v>1.6442928640619954</v>
      </c>
      <c r="N145" s="78">
        <v>1.6166855020988053</v>
      </c>
      <c r="O145" s="78">
        <v>1.5708750403616403</v>
      </c>
    </row>
    <row r="146" spans="2:15" ht="15.75" x14ac:dyDescent="0.3">
      <c r="B146" s="7" t="s">
        <v>117</v>
      </c>
      <c r="D146" s="6" t="s">
        <v>9</v>
      </c>
      <c r="E146" s="60">
        <f>1/((1/E136)*0.085+0.9)</f>
        <v>0.84507042253521125</v>
      </c>
      <c r="G146" s="144"/>
      <c r="H146" s="3">
        <v>240</v>
      </c>
      <c r="I146" s="1">
        <v>1.5758395221181789</v>
      </c>
      <c r="J146" s="1">
        <v>1.7054811107523411</v>
      </c>
      <c r="K146" s="1">
        <v>1.73</v>
      </c>
      <c r="L146" s="1">
        <v>1.1274620600581207</v>
      </c>
      <c r="M146" s="1">
        <v>1.1754924120116241</v>
      </c>
      <c r="N146" s="78">
        <v>1.0415321278656766</v>
      </c>
      <c r="O146" s="78">
        <v>1.02</v>
      </c>
    </row>
    <row r="147" spans="2:15" ht="15.75" x14ac:dyDescent="0.3">
      <c r="B147" s="7" t="s">
        <v>118</v>
      </c>
      <c r="D147" s="6" t="s">
        <v>9</v>
      </c>
      <c r="E147" s="60">
        <f>1/(0.7252*E136*E136+0.7802*E136+0.44)</f>
        <v>1.3525796398891967</v>
      </c>
      <c r="G147" s="144"/>
      <c r="H147" s="3">
        <v>255</v>
      </c>
      <c r="I147" s="1">
        <v>1.5758395221181789</v>
      </c>
      <c r="J147" s="1">
        <v>1.6701646754924122</v>
      </c>
      <c r="K147" s="1">
        <v>1.7</v>
      </c>
      <c r="L147" s="1">
        <v>1.8083629318695513</v>
      </c>
      <c r="M147" s="1">
        <v>1.72</v>
      </c>
      <c r="N147" s="78">
        <v>1.6243542137552471</v>
      </c>
      <c r="O147" s="78">
        <v>1.0900000000000001</v>
      </c>
    </row>
    <row r="148" spans="2:15" ht="15.75" x14ac:dyDescent="0.3">
      <c r="B148" s="7" t="s">
        <v>119</v>
      </c>
      <c r="D148" s="6" t="s">
        <v>9</v>
      </c>
      <c r="E148" s="69">
        <f>1/(2.6752*E136*E136+5.6832*E136+1.1407)</f>
        <v>0.32399913427431326</v>
      </c>
      <c r="G148" s="144"/>
      <c r="H148" s="3">
        <v>270</v>
      </c>
      <c r="I148" s="1">
        <v>1.5758395221181789</v>
      </c>
      <c r="J148" s="1">
        <v>1.5975540845979981</v>
      </c>
      <c r="K148" s="1">
        <v>1.6720213109460769</v>
      </c>
      <c r="L148" s="1">
        <v>1.7347029383274137</v>
      </c>
      <c r="M148" s="1">
        <v>1.73</v>
      </c>
      <c r="N148" s="78">
        <v>1.6317403939296093</v>
      </c>
      <c r="O148" s="78">
        <v>1.3601792056829201</v>
      </c>
    </row>
    <row r="149" spans="2:15" ht="15.75" x14ac:dyDescent="0.3">
      <c r="B149" s="10" t="s">
        <v>117</v>
      </c>
      <c r="D149" s="6" t="s">
        <v>9</v>
      </c>
      <c r="E149" s="62">
        <f>-0.0013/(1.0765*POWER((E131/1000),0.408))</f>
        <v>-1.2076172782164421E-3</v>
      </c>
      <c r="G149" s="144"/>
      <c r="H149" s="3">
        <v>285</v>
      </c>
      <c r="I149" s="1">
        <v>1.5758395221181789</v>
      </c>
      <c r="J149" s="1">
        <v>1.5268808524378432</v>
      </c>
      <c r="K149" s="1">
        <v>1.6068372618663223</v>
      </c>
      <c r="L149" s="1">
        <v>1.7049160477881822</v>
      </c>
      <c r="M149" s="5">
        <v>1.7383758475944462</v>
      </c>
      <c r="N149" s="78">
        <v>1.6188246690345496</v>
      </c>
      <c r="O149" s="78">
        <v>1.5722876977720375</v>
      </c>
    </row>
    <row r="150" spans="2:15" ht="15.75" x14ac:dyDescent="0.3">
      <c r="B150" s="10" t="s">
        <v>118</v>
      </c>
      <c r="D150" s="6" t="s">
        <v>9</v>
      </c>
      <c r="E150" s="62">
        <f>-1.5852/(0.0018*(E131/1000)*(E131/1000)+0.00011*(E131/1000)+0.94)</f>
        <v>-1.6829633404465396</v>
      </c>
      <c r="G150" s="144"/>
      <c r="H150" s="3">
        <v>300</v>
      </c>
      <c r="I150" s="1">
        <v>1.5758395221181789</v>
      </c>
      <c r="J150" s="1">
        <v>1.5107765579593155</v>
      </c>
      <c r="K150" s="1">
        <v>1.6369874071682273</v>
      </c>
      <c r="L150" s="1">
        <v>1.7319987084275106</v>
      </c>
      <c r="M150" s="1">
        <v>1.7144413948982886</v>
      </c>
      <c r="N150" s="78">
        <v>1.6015095253471103</v>
      </c>
      <c r="O150" s="78">
        <v>1.5671617694543105</v>
      </c>
    </row>
    <row r="151" spans="2:15" ht="15.75" x14ac:dyDescent="0.3">
      <c r="B151" s="10" t="s">
        <v>119</v>
      </c>
      <c r="D151" s="6" t="s">
        <v>9</v>
      </c>
      <c r="E151" s="62">
        <f>-128.1357/(0.2514*(E131/1000)*(E131/1000)+0.0787*(E131/1000)+0.5175)</f>
        <v>-151.17472864558758</v>
      </c>
      <c r="G151" s="144"/>
      <c r="H151" s="3">
        <v>315</v>
      </c>
      <c r="I151" s="1">
        <v>1.5758395221181789</v>
      </c>
      <c r="J151" s="1">
        <v>1.5300290603810138</v>
      </c>
      <c r="K151" s="1">
        <v>1.6734339683564741</v>
      </c>
      <c r="L151" s="1">
        <v>1.7096787213432354</v>
      </c>
      <c r="M151" s="1">
        <v>1.6654423635776558</v>
      </c>
      <c r="N151" s="78">
        <v>1.5907733290280917</v>
      </c>
      <c r="O151" s="78">
        <v>1.5704714239586699</v>
      </c>
    </row>
    <row r="152" spans="2:15" ht="16.5" thickBot="1" x14ac:dyDescent="0.35">
      <c r="B152" s="63" t="s">
        <v>120</v>
      </c>
      <c r="C152" s="12"/>
      <c r="D152" s="13" t="s">
        <v>9</v>
      </c>
      <c r="E152" s="64">
        <f>(E149*E128*E128*E146+E150*E128*E147+E151*E148)*E145</f>
        <v>-149.08026767564201</v>
      </c>
      <c r="G152" s="144"/>
      <c r="H152" s="3">
        <v>330</v>
      </c>
      <c r="I152" s="1">
        <v>1.5758395221181789</v>
      </c>
      <c r="J152" s="1">
        <v>1.5600581207620277</v>
      </c>
      <c r="K152" s="1">
        <v>1.6861075234097513</v>
      </c>
      <c r="L152" s="1">
        <v>1.6483693897319986</v>
      </c>
      <c r="M152" s="1">
        <v>1.6332337746206005</v>
      </c>
      <c r="N152" s="78">
        <v>1.6161204391346466</v>
      </c>
      <c r="O152" s="78">
        <v>1.5594123345172748</v>
      </c>
    </row>
    <row r="153" spans="2:15" ht="15.75" x14ac:dyDescent="0.3">
      <c r="B153" s="7" t="s">
        <v>121</v>
      </c>
      <c r="D153" s="6" t="s">
        <v>9</v>
      </c>
      <c r="E153">
        <f>0.1665*E135-4.9078</f>
        <v>-3.2427999999999999</v>
      </c>
      <c r="G153" s="144"/>
      <c r="H153" s="3">
        <v>345</v>
      </c>
      <c r="I153" s="1">
        <v>1.57</v>
      </c>
      <c r="J153" s="1">
        <v>1.5806829189538263</v>
      </c>
      <c r="K153" s="1">
        <v>1.6624959638359702</v>
      </c>
      <c r="L153" s="1">
        <v>1.5906522441072006</v>
      </c>
      <c r="M153" s="1">
        <v>1.6129722311914756</v>
      </c>
      <c r="N153" s="78">
        <v>1.56</v>
      </c>
      <c r="O153" s="78">
        <v>1.4601792056829199</v>
      </c>
    </row>
    <row r="154" spans="2:15" ht="15.75" x14ac:dyDescent="0.3">
      <c r="B154" s="7" t="s">
        <v>122</v>
      </c>
      <c r="D154" s="6" t="s">
        <v>9</v>
      </c>
      <c r="E154">
        <f>-0.1087*E135+4.2488</f>
        <v>3.1618000000000004</v>
      </c>
      <c r="G154" s="145"/>
      <c r="H154" s="3">
        <v>360</v>
      </c>
      <c r="I154" s="1">
        <v>1.57</v>
      </c>
      <c r="J154" s="1">
        <v>1.5880690991281885</v>
      </c>
      <c r="K154" s="1">
        <v>1.6555134000645788</v>
      </c>
      <c r="L154" s="1">
        <v>1.5787051985792702</v>
      </c>
      <c r="M154" s="1">
        <v>1.608007749434937</v>
      </c>
      <c r="N154" s="78">
        <v>1.24</v>
      </c>
      <c r="O154" s="78">
        <v>1.4224168550209899</v>
      </c>
    </row>
    <row r="155" spans="2:15" ht="15.75" x14ac:dyDescent="0.3">
      <c r="B155" s="7" t="s">
        <v>70</v>
      </c>
      <c r="D155" s="6" t="s">
        <v>9</v>
      </c>
      <c r="E155" s="2">
        <f>-0.0087*E134+1.2167</f>
        <v>0.99919999999999987</v>
      </c>
    </row>
    <row r="156" spans="2:15" ht="15.75" x14ac:dyDescent="0.3">
      <c r="B156" s="7" t="s">
        <v>123</v>
      </c>
      <c r="D156" s="6" t="s">
        <v>9</v>
      </c>
      <c r="E156" s="2">
        <f>(E153*E137+E154)*E155</f>
        <v>2.8352499840000003</v>
      </c>
    </row>
    <row r="157" spans="2:15" ht="15.75" x14ac:dyDescent="0.3">
      <c r="B157" s="7" t="s">
        <v>124</v>
      </c>
      <c r="D157" s="6" t="s">
        <v>9</v>
      </c>
      <c r="E157" s="2">
        <f>E156*E139*0.77</f>
        <v>2.2922996120640002</v>
      </c>
    </row>
    <row r="158" spans="2:15" ht="15.75" x14ac:dyDescent="0.3">
      <c r="B158" s="7" t="s">
        <v>125</v>
      </c>
      <c r="D158" s="6" t="s">
        <v>9</v>
      </c>
      <c r="E158" s="2">
        <f>VLOOKUP(E132,'+'!$H$130:$O$154,HLOOKUP(E133,'+'!$I$128:$O$129,2,FALSE),FALSE)</f>
        <v>1.5551340006457863</v>
      </c>
    </row>
    <row r="159" spans="2:15" ht="16.5" thickBot="1" x14ac:dyDescent="0.35">
      <c r="B159" s="11" t="s">
        <v>126</v>
      </c>
      <c r="C159" s="12"/>
      <c r="D159" s="13" t="s">
        <v>9</v>
      </c>
      <c r="E159" s="65">
        <f>1+((E158-1)/0.74)*(E157-1)</f>
        <v>1.9694587211866028</v>
      </c>
    </row>
    <row r="160" spans="2:15" x14ac:dyDescent="0.2">
      <c r="B160"/>
      <c r="D160"/>
    </row>
    <row r="161" spans="2:5" ht="15.75" x14ac:dyDescent="0.3">
      <c r="B161" s="10" t="s">
        <v>127</v>
      </c>
      <c r="C161" s="53" t="s">
        <v>75</v>
      </c>
      <c r="D161" s="6" t="s">
        <v>9</v>
      </c>
      <c r="E161" s="66">
        <f>E141*E142*E152*E138</f>
        <v>-154.55272307699789</v>
      </c>
    </row>
    <row r="162" spans="2:5" ht="15.75" x14ac:dyDescent="0.3">
      <c r="B162" s="10" t="s">
        <v>128</v>
      </c>
      <c r="C162" s="53" t="s">
        <v>75</v>
      </c>
      <c r="D162" s="6" t="s">
        <v>9</v>
      </c>
      <c r="E162" s="66">
        <f>E161*E159</f>
        <v>-304.38520834713142</v>
      </c>
    </row>
    <row r="165" spans="2:5" x14ac:dyDescent="0.2">
      <c r="B165" s="132" t="s">
        <v>170</v>
      </c>
    </row>
    <row r="166" spans="2:5" ht="15.75" x14ac:dyDescent="0.3">
      <c r="B166" s="10" t="s">
        <v>168</v>
      </c>
      <c r="C166" s="53" t="s">
        <v>75</v>
      </c>
      <c r="D166" s="6" t="s">
        <v>9</v>
      </c>
      <c r="E166" s="2">
        <f>-1*Prognosewerte!F10*Prognosewerte!F7</f>
        <v>-780</v>
      </c>
    </row>
    <row r="167" spans="2:5" ht="15.75" x14ac:dyDescent="0.3">
      <c r="B167" s="10" t="s">
        <v>169</v>
      </c>
      <c r="C167" s="53" t="s">
        <v>75</v>
      </c>
      <c r="D167" s="6" t="s">
        <v>9</v>
      </c>
      <c r="E167" s="2">
        <f>-1*(Prognosewerte!F7+Prognosewerte!F8/2)*Prognosewerte!F10*(Prognosewerte!F12/(1-Prognosewerte!F12))</f>
        <v>-230.75</v>
      </c>
    </row>
    <row r="168" spans="2:5" ht="15.75" x14ac:dyDescent="0.3">
      <c r="B168" s="10" t="s">
        <v>169</v>
      </c>
      <c r="C168" s="53" t="s">
        <v>75</v>
      </c>
      <c r="D168" s="6" t="s">
        <v>9</v>
      </c>
      <c r="E168" s="2">
        <f>-1*(Prognosewerte!F7+Prognosewerte!F8)*Prognosewerte!F10</f>
        <v>-1066</v>
      </c>
    </row>
    <row r="169" spans="2:5" x14ac:dyDescent="0.2">
      <c r="B169" s="7" t="s">
        <v>171</v>
      </c>
      <c r="D169" s="6" t="s">
        <v>9</v>
      </c>
    </row>
    <row r="170" spans="2:5" x14ac:dyDescent="0.2">
      <c r="B170" s="7" t="s">
        <v>172</v>
      </c>
      <c r="D170" s="6" t="s">
        <v>9</v>
      </c>
      <c r="E170">
        <f>1/(E166/E74)</f>
        <v>9.4664632355654518E-2</v>
      </c>
    </row>
    <row r="171" spans="2:5" x14ac:dyDescent="0.2">
      <c r="B171" s="7" t="s">
        <v>173</v>
      </c>
      <c r="D171" s="6" t="s">
        <v>9</v>
      </c>
      <c r="E171">
        <f>1/(E167/E121)</f>
        <v>0.64678193581489307</v>
      </c>
    </row>
    <row r="172" spans="2:5" x14ac:dyDescent="0.2">
      <c r="B172" s="7" t="s">
        <v>174</v>
      </c>
      <c r="D172" s="6" t="s">
        <v>9</v>
      </c>
      <c r="E172">
        <f>1/(E168/E161)</f>
        <v>0.14498379275515749</v>
      </c>
    </row>
    <row r="173" spans="2:5" x14ac:dyDescent="0.2">
      <c r="B173" s="7" t="s">
        <v>175</v>
      </c>
      <c r="D173" s="6" t="s">
        <v>9</v>
      </c>
      <c r="E173">
        <f>SUM(E170:E172)/3</f>
        <v>0.295476786975235</v>
      </c>
    </row>
    <row r="175" spans="2:5" x14ac:dyDescent="0.2">
      <c r="B175" s="7" t="s">
        <v>132</v>
      </c>
      <c r="D175" s="6" t="s">
        <v>9</v>
      </c>
      <c r="E175">
        <f>MIN(E170:E172)</f>
        <v>9.4664632355654518E-2</v>
      </c>
    </row>
    <row r="176" spans="2:5" x14ac:dyDescent="0.2">
      <c r="B176" s="7" t="s">
        <v>176</v>
      </c>
      <c r="D176" s="6" t="s">
        <v>9</v>
      </c>
      <c r="E176">
        <f>E173</f>
        <v>0.295476786975235</v>
      </c>
    </row>
    <row r="177" spans="2:5" x14ac:dyDescent="0.2">
      <c r="B177" s="7" t="s">
        <v>133</v>
      </c>
      <c r="D177" s="6" t="s">
        <v>9</v>
      </c>
      <c r="E177">
        <f>MAX(E170:E172)</f>
        <v>0.64678193581489307</v>
      </c>
    </row>
    <row r="179" spans="2:5" x14ac:dyDescent="0.2">
      <c r="B179" s="132" t="s">
        <v>177</v>
      </c>
    </row>
    <row r="180" spans="2:5" x14ac:dyDescent="0.2">
      <c r="B180" s="7" t="s">
        <v>132</v>
      </c>
      <c r="C180" t="s">
        <v>178</v>
      </c>
      <c r="D180" s="6" t="s">
        <v>9</v>
      </c>
      <c r="E180" s="2">
        <f>(1-E177)*100</f>
        <v>35.32180641851069</v>
      </c>
    </row>
    <row r="181" spans="2:5" x14ac:dyDescent="0.2">
      <c r="B181" s="7" t="s">
        <v>176</v>
      </c>
      <c r="C181" t="s">
        <v>178</v>
      </c>
      <c r="D181" s="6" t="s">
        <v>9</v>
      </c>
      <c r="E181" s="2">
        <f>(1-E176)*100</f>
        <v>70.452321302476491</v>
      </c>
    </row>
    <row r="182" spans="2:5" x14ac:dyDescent="0.2">
      <c r="B182" s="7" t="s">
        <v>133</v>
      </c>
      <c r="C182" t="s">
        <v>178</v>
      </c>
      <c r="D182" s="6" t="s">
        <v>9</v>
      </c>
      <c r="E182" s="2">
        <f>(1-E175)*100</f>
        <v>90.533536764434558</v>
      </c>
    </row>
  </sheetData>
  <sheetProtection password="C7F6" sheet="1" objects="1" scenarios="1"/>
  <mergeCells count="15">
    <mergeCell ref="P4:Q6"/>
    <mergeCell ref="R4:X4"/>
    <mergeCell ref="P7:P31"/>
    <mergeCell ref="G43:G67"/>
    <mergeCell ref="I40:O40"/>
    <mergeCell ref="G40:H42"/>
    <mergeCell ref="G130:G154"/>
    <mergeCell ref="I127:O127"/>
    <mergeCell ref="G127:H129"/>
    <mergeCell ref="S78:Y78"/>
    <mergeCell ref="Q81:Q105"/>
    <mergeCell ref="G81:G105"/>
    <mergeCell ref="I78:O78"/>
    <mergeCell ref="G78:H80"/>
    <mergeCell ref="Q78:R80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Prognosewerte</vt:lpstr>
      <vt:lpstr>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Juergen Schmitt</dc:creator>
  <cp:lastModifiedBy>Jürgen Schmitt</cp:lastModifiedBy>
  <cp:lastPrinted>2009-06-29T12:19:12Z</cp:lastPrinted>
  <dcterms:created xsi:type="dcterms:W3CDTF">2007-12-30T17:54:49Z</dcterms:created>
  <dcterms:modified xsi:type="dcterms:W3CDTF">2025-06-25T09:37:54Z</dcterms:modified>
</cp:coreProperties>
</file>